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3725" windowHeight="913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<sst xmlns="http://schemas.openxmlformats.org/spreadsheetml/2006/main" count="3787" uniqueCount="2993">
  <si>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</si>
  <si>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</si>
  <si>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</si>
  <si>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</si>
  <si>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</si>
  <si>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</si>
  <si>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</si>
  <si>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</si>
  <si>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</si>
  <si>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</si>
  <si>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</si>
  <si>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</si>
  <si>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</si>
  <si>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</si>
  <si>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</si>
  <si>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</si>
  <si>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</si>
  <si>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</si>
  <si>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</si>
  <si>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</si>
  <si>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</si>
  <si>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</si>
  <si>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</si>
  <si>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</si>
  <si>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</si>
  <si>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</si>
  <si>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</si>
  <si>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</si>
  <si>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</si>
  <si>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</si>
  <si>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</si>
  <si>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</si>
  <si>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</si>
  <si>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</si>
  <si>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</si>
  <si>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</si>
  <si>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</si>
  <si>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</si>
  <si>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</si>
  <si>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</si>
  <si>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</si>
  <si>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</si>
  <si>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</si>
  <si>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</si>
  <si>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</si>
  <si>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</si>
  <si>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</si>
  <si>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</si>
  <si>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</si>
  <si>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</si>
  <si>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</si>
  <si>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</si>
  <si>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</si>
  <si>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</si>
  <si>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</si>
  <si>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</si>
  <si>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</si>
  <si>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</si>
  <si>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</si>
  <si>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</si>
  <si>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</si>
  <si>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</si>
  <si>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</si>
  <si>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</si>
  <si>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</si>
  <si>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</si>
  <si>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</si>
  <si>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</si>
  <si>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</si>
  <si>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</si>
  <si>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</si>
  <si>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</si>
  <si>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</si>
  <si>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</si>
  <si>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</si>
  <si>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</si>
  <si>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</si>
  <si>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</si>
  <si>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</si>
  <si>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</si>
  <si>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</si>
  <si>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</si>
  <si>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</si>
  <si>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</si>
  <si>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</si>
  <si>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</si>
  <si>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</si>
  <si>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</si>
  <si>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</si>
  <si>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</si>
  <si>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</si>
  <si>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</si>
  <si>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</si>
  <si>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</si>
  <si>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</si>
  <si>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</si>
  <si>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</si>
  <si>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</si>
  <si>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</si>
  <si>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</si>
  <si>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</si>
  <si>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</si>
  <si>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</si>
  <si>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</si>
  <si>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</si>
  <si>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</si>
  <si>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</si>
  <si>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</si>
  <si>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</si>
  <si>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</si>
  <si>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</si>
  <si>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</si>
  <si>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</si>
  <si>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</si>
  <si>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</si>
  <si>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</si>
  <si>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</si>
  <si>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</si>
  <si>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</si>
  <si>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</si>
  <si>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</si>
  <si>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</si>
  <si>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</si>
  <si>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</si>
  <si>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</si>
  <si>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</si>
  <si>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</si>
  <si>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</si>
  <si>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</si>
  <si>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</si>
  <si>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</si>
  <si>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</si>
  <si>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</si>
  <si>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</si>
  <si>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</si>
  <si>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</si>
  <si>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</si>
  <si>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</si>
  <si>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</si>
  <si>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</si>
  <si>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</si>
  <si>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</si>
  <si>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</si>
  <si>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</si>
  <si>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</si>
  <si>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</si>
  <si>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</si>
  <si>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</si>
  <si>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</si>
  <si>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</si>
  <si>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</si>
  <si>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</si>
  <si>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</si>
  <si>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</si>
  <si>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</si>
  <si>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</si>
  <si>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</si>
  <si>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</si>
  <si>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</si>
  <si>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</si>
  <si>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</si>
  <si>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</si>
  <si>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</si>
  <si>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</si>
  <si>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</si>
  <si>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</si>
  <si>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</si>
  <si>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</si>
  <si>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</si>
  <si>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</si>
  <si>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</si>
  <si>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</si>
  <si>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</si>
  <si>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</si>
  <si>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</si>
  <si>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</si>
  <si>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</si>
  <si>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</si>
  <si>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</si>
  <si>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</si>
  <si>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</si>
  <si>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</si>
  <si>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</si>
  <si>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</si>
  <si>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</si>
  <si>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</si>
  <si>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</si>
  <si>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</si>
  <si>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</si>
  <si>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</si>
  <si>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</si>
  <si>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</si>
  <si>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</si>
  <si>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</si>
  <si>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</si>
  <si>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</si>
  <si>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</si>
  <si>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</si>
  <si>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</si>
  <si>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</si>
  <si>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</si>
  <si>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</si>
  <si>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</si>
  <si>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</si>
  <si>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</si>
  <si>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</si>
  <si>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</si>
  <si>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</si>
  <si>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</si>
  <si>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</si>
  <si>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</si>
  <si>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</si>
  <si>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</si>
  <si>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</si>
  <si>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</si>
  <si>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</si>
  <si>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</si>
  <si>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</si>
  <si>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</si>
  <si>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</si>
  <si>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</si>
  <si>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</si>
  <si>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</si>
  <si>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</si>
  <si>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</si>
  <si>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</si>
  <si>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</si>
  <si>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</si>
  <si>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</si>
  <si>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</si>
  <si>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</si>
  <si>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</si>
  <si>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</si>
  <si>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</si>
  <si>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</si>
  <si>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</si>
  <si>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</si>
  <si>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</si>
  <si>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</si>
  <si>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</si>
  <si>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</si>
  <si>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</si>
  <si>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</si>
  <si>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</si>
  <si>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</si>
  <si>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</si>
  <si>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</si>
  <si>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</si>
  <si>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</si>
  <si>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</si>
  <si>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</si>
  <si>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</si>
  <si>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</si>
  <si>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</si>
  <si>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</si>
  <si>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</si>
  <si>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</si>
  <si>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</si>
  <si>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</si>
  <si>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</si>
  <si>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</si>
  <si>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</si>
  <si>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</si>
  <si>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</si>
  <si>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</si>
  <si>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</si>
  <si>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</si>
  <si>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</si>
  <si>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</si>
  <si>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</si>
  <si>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</si>
  <si>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</si>
  <si>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</si>
  <si>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</si>
  <si>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</si>
  <si>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</si>
  <si>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</si>
  <si>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</si>
  <si>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</si>
  <si>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</si>
  <si>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</si>
  <si>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</si>
  <si>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</si>
  <si>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</si>
  <si>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</si>
  <si>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</si>
  <si>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</si>
  <si>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</si>
  <si>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</si>
  <si>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</si>
  <si>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</si>
  <si>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</si>
  <si>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</si>
  <si>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</si>
  <si>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</si>
  <si>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</si>
  <si>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</si>
  <si>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</si>
  <si>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</si>
  <si>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</si>
  <si>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</si>
  <si>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</si>
  <si>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</si>
  <si>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</si>
  <si>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</si>
  <si>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</si>
  <si>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</si>
  <si>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</si>
  <si>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</si>
  <si>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</si>
  <si>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</si>
  <si>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</si>
  <si>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</si>
  <si>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</si>
  <si>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</si>
  <si>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</si>
  <si>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</si>
  <si>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</si>
  <si>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</si>
  <si>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</si>
  <si>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</si>
  <si>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</si>
  <si>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</si>
  <si>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</si>
  <si>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</si>
  <si>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</si>
  <si>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</si>
  <si>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</si>
  <si>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</si>
  <si>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</si>
  <si>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</si>
  <si>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</si>
  <si>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</si>
  <si>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</si>
  <si>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</si>
  <si>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</si>
  <si>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</si>
  <si>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</si>
  <si>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</si>
  <si>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</si>
  <si>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</si>
  <si>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</si>
  <si>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</si>
  <si>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</si>
  <si>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</si>
  <si>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</si>
  <si>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</si>
  <si>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</si>
  <si>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</si>
  <si>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</si>
  <si>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</si>
  <si>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</si>
  <si>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</si>
  <si>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</si>
  <si>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</si>
  <si>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</si>
  <si>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</si>
  <si>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</si>
  <si>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</si>
  <si>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</si>
  <si>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</si>
  <si>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</si>
  <si>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</si>
  <si>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</si>
  <si>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</si>
  <si>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</si>
  <si>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</si>
  <si>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</si>
  <si>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</si>
  <si>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</si>
  <si>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</si>
  <si>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</si>
  <si>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</si>
  <si>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</si>
  <si>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</si>
  <si>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</si>
  <si>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</si>
  <si>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</si>
  <si>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</si>
  <si>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</si>
  <si>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</si>
  <si>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</si>
  <si>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</si>
  <si>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</si>
  <si>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</si>
  <si>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</si>
  <si>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</si>
  <si>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</si>
  <si>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</si>
  <si>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</si>
  <si>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</si>
  <si>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</si>
  <si>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</si>
  <si>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</si>
  <si>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</si>
  <si>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</si>
  <si>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</si>
  <si>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</si>
  <si>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</si>
  <si>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</si>
  <si>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</si>
  <si>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</si>
  <si>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</si>
  <si>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</si>
  <si>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</si>
  <si>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</si>
  <si>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</si>
  <si>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</si>
  <si>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</si>
  <si>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</si>
  <si>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</si>
  <si>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</si>
  <si>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</si>
  <si>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</si>
  <si>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</si>
  <si>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</si>
  <si>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</si>
  <si>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</si>
  <si>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</si>
  <si>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</si>
  <si>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</si>
  <si>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</si>
  <si>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</si>
  <si>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</si>
  <si>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</si>
  <si>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</si>
  <si>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</si>
  <si>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</si>
  <si>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</si>
  <si>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</si>
  <si>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</si>
  <si>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</si>
  <si>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</si>
  <si>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</si>
  <si>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</si>
  <si>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</si>
  <si>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</si>
  <si>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</si>
  <si>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</si>
  <si>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</si>
  <si>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</si>
  <si>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</si>
  <si>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</si>
  <si>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</si>
  <si>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</si>
  <si>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</si>
  <si>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</si>
  <si>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</si>
  <si>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</si>
  <si>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</si>
  <si>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</si>
  <si>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</si>
  <si>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</si>
  <si>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</si>
  <si>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</si>
  <si>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</si>
  <si>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</si>
  <si>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</si>
  <si>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</si>
  <si>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</si>
  <si>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</si>
  <si>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</si>
  <si>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</si>
  <si>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</si>
  <si>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</si>
  <si>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</si>
  <si>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</si>
  <si>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</si>
  <si>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</si>
  <si>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</si>
  <si>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</si>
  <si>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</si>
  <si>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</si>
  <si>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</si>
  <si>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</si>
  <si>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</si>
  <si>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</si>
  <si>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</si>
  <si>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</si>
  <si>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</si>
  <si>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</si>
  <si>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</si>
  <si>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</si>
  <si>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</si>
  <si>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</si>
  <si>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</si>
  <si>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</si>
  <si>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</si>
  <si>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</si>
  <si>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</si>
  <si>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</si>
  <si>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</si>
  <si>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</si>
  <si>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</si>
  <si>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</si>
  <si>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</si>
  <si>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</si>
  <si>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</si>
  <si>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</si>
  <si>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</si>
  <si>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</si>
  <si>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</si>
  <si>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</si>
  <si>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</si>
  <si>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</si>
  <si>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</si>
  <si>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</si>
  <si>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</si>
  <si>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</si>
  <si>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</si>
  <si>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</si>
  <si>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</si>
  <si>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</si>
  <si>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</si>
  <si>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</si>
  <si>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</si>
  <si>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</si>
  <si>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</si>
  <si>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</si>
  <si>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</si>
  <si>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</si>
  <si>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</si>
  <si>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</si>
  <si>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</si>
  <si>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</si>
  <si>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</si>
  <si>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</si>
  <si>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</si>
  <si>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</si>
  <si>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</si>
  <si>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</si>
  <si>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</si>
  <si>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</si>
  <si>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</si>
  <si>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</si>
  <si>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</si>
  <si>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</si>
  <si>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</si>
  <si>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</si>
  <si>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</si>
  <si>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</si>
  <si>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</si>
  <si>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</si>
  <si>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</si>
  <si>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</si>
  <si>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</si>
  <si>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</si>
  <si>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</si>
  <si>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</si>
  <si>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</si>
  <si>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</si>
  <si>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</si>
  <si>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</si>
  <si>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</si>
  <si>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</si>
  <si>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</si>
  <si>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</si>
  <si>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</si>
  <si>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</si>
  <si>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</si>
  <si>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</si>
  <si>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</si>
  <si>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</si>
  <si>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</si>
  <si>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</si>
  <si>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</si>
  <si>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</si>
  <si>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</si>
  <si>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</si>
  <si>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</si>
  <si>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</si>
  <si>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</si>
  <si>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</si>
  <si>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</si>
  <si>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</si>
  <si>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</si>
  <si>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</si>
  <si>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</si>
  <si>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</si>
  <si>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</si>
  <si>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</si>
  <si>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</si>
  <si>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</si>
  <si>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</si>
  <si>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</si>
  <si>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</si>
  <si>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</si>
  <si>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</si>
  <si>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</si>
  <si>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</si>
  <si>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</si>
  <si>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</si>
  <si>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</si>
  <si>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</si>
  <si>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</si>
  <si>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</si>
  <si>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</si>
  <si>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</si>
  <si>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</si>
  <si>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</si>
  <si>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</si>
  <si>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</si>
  <si>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</si>
  <si>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</si>
  <si>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</si>
  <si>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</si>
  <si>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</si>
  <si>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</si>
  <si>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</si>
  <si>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</si>
  <si>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</si>
  <si>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</si>
  <si>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</si>
  <si>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</si>
  <si>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</si>
  <si>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</si>
  <si>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</si>
  <si>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</si>
  <si>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</si>
  <si>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</si>
  <si>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</si>
  <si>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</si>
  <si>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</si>
  <si>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</si>
  <si>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</si>
  <si>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</si>
  <si>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</si>
  <si>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</si>
  <si>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</si>
  <si>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</si>
  <si>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</si>
  <si>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</si>
  <si>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</si>
  <si>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</si>
  <si>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</si>
  <si>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</si>
  <si>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</si>
  <si>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</si>
  <si>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</si>
  <si>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</si>
  <si>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</si>
  <si>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</si>
  <si>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</si>
  <si>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</si>
  <si>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</si>
  <si>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</si>
  <si>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</si>
  <si>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</si>
  <si>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</si>
  <si>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</si>
  <si>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</si>
  <si>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</si>
  <si>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</si>
  <si>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</si>
  <si>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</si>
  <si>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</si>
  <si>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</si>
  <si>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</si>
  <si>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</si>
  <si>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</si>
  <si>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</si>
  <si>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</si>
  <si>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</si>
  <si>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</si>
  <si>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</si>
  <si>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</si>
  <si>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</si>
  <si>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</si>
  <si>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</si>
  <si>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</si>
  <si>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</si>
  <si>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</si>
  <si>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</si>
  <si>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</si>
  <si>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</si>
  <si>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</si>
  <si>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</si>
  <si>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</si>
  <si>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</si>
  <si>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</si>
  <si>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</si>
  <si>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</si>
  <si>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</si>
  <si>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</si>
  <si>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</si>
  <si>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</si>
  <si>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</si>
  <si>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</si>
  <si>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</si>
  <si>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</si>
  <si>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</si>
  <si>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</si>
  <si>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</si>
  <si>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</si>
  <si>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</si>
  <si>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</si>
  <si>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</si>
  <si>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</si>
  <si>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</si>
  <si>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</si>
  <si>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</si>
  <si>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</si>
  <si>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</si>
  <si>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</si>
  <si>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</si>
  <si>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</si>
  <si>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</si>
  <si>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</si>
  <si>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</si>
  <si>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</si>
  <si>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</si>
  <si>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</si>
  <si>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</si>
  <si>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</si>
  <si>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</si>
  <si>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</si>
  <si>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</si>
  <si>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</si>
  <si>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</si>
  <si>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</si>
  <si>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</si>
  <si>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</si>
  <si>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</si>
  <si>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</si>
  <si>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</si>
  <si>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</si>
  <si>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</si>
  <si>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</si>
  <si>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</si>
  <si>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</si>
  <si>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</si>
  <si>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</si>
  <si>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</si>
  <si>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</si>
  <si>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</si>
  <si>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</si>
  <si>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</si>
  <si>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</si>
  <si>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</si>
  <si>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</si>
  <si>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</si>
  <si>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</si>
  <si>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</si>
  <si>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</si>
  <si>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</si>
  <si>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</si>
  <si>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</si>
  <si>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</si>
  <si>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</si>
  <si>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</si>
  <si>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</si>
  <si>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</si>
  <si>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</si>
  <si>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</si>
  <si>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</si>
  <si>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</si>
  <si>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</si>
  <si>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</si>
  <si>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</si>
  <si>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</si>
  <si>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</si>
  <si>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</si>
  <si>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</si>
  <si>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</si>
  <si>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</si>
  <si>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</si>
  <si>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</si>
  <si>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</si>
  <si>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</si>
  <si>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</si>
  <si>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</si>
  <si>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</si>
  <si>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</si>
  <si>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</si>
  <si>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</si>
  <si>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</si>
  <si>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</si>
  <si>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</si>
  <si>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</si>
  <si>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</si>
  <si>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</si>
  <si>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</si>
  <si>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</si>
  <si>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</si>
  <si>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</si>
  <si>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</si>
  <si>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</si>
  <si>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</si>
  <si>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</si>
  <si>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</si>
  <si>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</si>
  <si>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</si>
  <si>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</si>
  <si>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</si>
  <si>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</si>
  <si>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</si>
  <si>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</si>
  <si>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</si>
  <si>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</si>
  <si>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</si>
  <si>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</si>
  <si>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</si>
  <si>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</si>
  <si>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</si>
  <si>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</si>
  <si>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</si>
  <si>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</si>
  <si>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</si>
  <si>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</si>
  <si>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</si>
  <si>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</si>
  <si>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</si>
  <si>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</si>
  <si>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</si>
  <si>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</si>
  <si>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</si>
  <si>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</si>
  <si>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</si>
  <si>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</si>
  <si>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</si>
  <si>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</si>
  <si>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</si>
  <si>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</si>
  <si>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</si>
  <si>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</si>
  <si>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</si>
  <si>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</si>
  <si>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</si>
  <si>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</si>
  <si>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</si>
  <si>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</si>
  <si>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</si>
  <si>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</si>
  <si>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</si>
  <si>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</si>
  <si>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</si>
  <si>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</si>
  <si>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</si>
  <si>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</si>
  <si>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</si>
  <si>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</si>
  <si>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</si>
  <si>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</si>
  <si>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</si>
  <si>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</si>
  <si>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</si>
  <si>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</si>
  <si>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</si>
  <si>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</si>
  <si>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</si>
  <si>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</si>
  <si>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</si>
  <si>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</si>
  <si>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</si>
  <si>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</si>
  <si>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</si>
  <si>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</si>
  <si>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</si>
  <si>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</si>
  <si>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</si>
  <si>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</si>
  <si>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</si>
  <si>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</si>
  <si>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</si>
  <si>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</si>
  <si>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</si>
  <si>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</si>
  <si>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</si>
  <si>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</si>
  <si>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</si>
  <si>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</si>
  <si>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</si>
  <si>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</si>
  <si>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</si>
  <si>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</si>
  <si>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</si>
  <si>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</si>
  <si>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</si>
  <si>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</si>
  <si>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</si>
  <si>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</si>
  <si>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</si>
  <si>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</si>
  <si>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</si>
  <si>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</si>
  <si>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</si>
  <si>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</si>
  <si>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</si>
  <si>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</si>
  <si>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</si>
  <si>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</si>
  <si>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</si>
  <si>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</si>
  <si>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</si>
  <si>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</si>
  <si>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</si>
  <si>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</si>
  <si>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</si>
  <si>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</si>
  <si>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</si>
  <si>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</si>
  <si>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</si>
  <si>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</si>
  <si>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</si>
  <si>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</si>
  <si>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</si>
  <si>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</si>
  <si>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</si>
  <si>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</si>
  <si>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</si>
  <si>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</si>
  <si>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</si>
  <si>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</si>
  <si>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</si>
  <si>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</si>
  <si>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</si>
  <si>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</si>
  <si>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</si>
  <si>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</si>
  <si>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</si>
  <si>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</si>
  <si>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</si>
  <si>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</si>
  <si>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</si>
  <si>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</si>
  <si>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</si>
  <si>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</si>
  <si>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</si>
  <si>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</si>
  <si>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</si>
  <si>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</si>
  <si>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</si>
  <si>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</si>
  <si>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</si>
  <si>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</si>
  <si>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</si>
  <si>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</si>
  <si>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</si>
  <si>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</si>
  <si>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</si>
  <si>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</si>
  <si>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</si>
  <si>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</si>
  <si>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</si>
  <si>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</si>
  <si>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</si>
  <si>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</si>
  <si>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</si>
  <si>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</si>
  <si>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</si>
  <si>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</si>
  <si>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</si>
  <si>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</si>
  <si>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</si>
  <si>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</si>
  <si>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</si>
  <si>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</si>
  <si>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</si>
  <si>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</si>
  <si>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</si>
  <si>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</si>
  <si>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</si>
  <si>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</si>
  <si>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</si>
  <si>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</si>
  <si>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</si>
  <si>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</si>
  <si>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</si>
  <si>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</si>
  <si>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</si>
  <si>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</si>
  <si>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</si>
  <si>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</si>
  <si>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</si>
  <si>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</si>
  <si>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</si>
  <si>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</si>
  <si>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</si>
  <si>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</si>
  <si>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</si>
  <si>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</si>
  <si>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</si>
  <si>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</si>
  <si>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</si>
  <si>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</si>
  <si>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</si>
  <si>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</si>
  <si>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</si>
  <si>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</si>
  <si>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</si>
  <si>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</si>
  <si>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</si>
  <si>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</si>
  <si>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</si>
  <si>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</si>
  <si>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</si>
  <si>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</si>
  <si>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</si>
  <si>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</si>
  <si>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</si>
  <si>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</si>
  <si>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</si>
  <si>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</si>
  <si>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</si>
  <si>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</si>
  <si>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</si>
  <si>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</si>
  <si>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</si>
  <si>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</si>
  <si>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</si>
  <si>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</si>
  <si>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</si>
  <si>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</si>
  <si>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</si>
  <si>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</si>
  <si>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</si>
  <si>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</si>
  <si>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</si>
  <si>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</si>
  <si>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</si>
  <si>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</si>
  <si>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</si>
  <si>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</si>
  <si>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</si>
  <si>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</si>
  <si>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</si>
  <si>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</si>
  <si>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</si>
  <si>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</si>
  <si>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</si>
  <si>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</si>
  <si>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</si>
  <si>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</si>
  <si>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</si>
  <si>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</si>
  <si>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</si>
  <si>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</si>
  <si>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</si>
  <si>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</si>
  <si>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</si>
  <si>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</si>
  <si>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</si>
  <si>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</si>
  <si>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</si>
  <si>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</si>
  <si>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</si>
  <si>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</si>
  <si>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</si>
  <si>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</si>
  <si>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</si>
  <si>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</si>
  <si>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</si>
  <si>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</si>
  <si>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</si>
  <si>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</si>
  <si>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</si>
  <si>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</si>
  <si>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</si>
  <si>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</si>
  <si>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</si>
  <si>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</si>
  <si>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</si>
  <si>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</si>
  <si>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</si>
  <si>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</si>
  <si>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</si>
  <si>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</si>
  <si>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</si>
  <si>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</si>
  <si>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</si>
  <si>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</si>
  <si>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</si>
  <si>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</si>
  <si>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</si>
  <si>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</si>
  <si>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</si>
  <si>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</si>
  <si>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</si>
  <si>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</si>
  <si>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</si>
  <si>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</si>
  <si>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</si>
  <si>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</si>
  <si>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</si>
  <si>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</si>
  <si>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</si>
  <si>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</si>
  <si>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</si>
  <si>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</si>
  <si>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</si>
  <si>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</si>
  <si>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</si>
  <si>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</si>
  <si>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</si>
  <si>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</si>
  <si>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</si>
  <si>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</si>
  <si>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</si>
  <si>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</si>
  <si>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</si>
  <si>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</si>
  <si>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</si>
  <si>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</si>
  <si>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</si>
  <si>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</si>
  <si>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</si>
  <si>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</si>
  <si>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</si>
  <si>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</si>
  <si>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</si>
  <si>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</si>
  <si>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</si>
  <si>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</si>
  <si>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</si>
  <si>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</si>
  <si>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</si>
  <si>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</si>
  <si>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</si>
  <si>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</si>
  <si>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</si>
  <si>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</si>
  <si>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</si>
  <si>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</si>
  <si>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</si>
  <si>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</si>
  <si>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</si>
  <si>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</si>
  <si>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</si>
  <si>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</si>
  <si>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</si>
  <si>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</si>
  <si>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</si>
  <si>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</si>
  <si>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</si>
  <si>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</si>
  <si>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</si>
  <si>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</si>
  <si>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</si>
  <si>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</si>
  <si>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</si>
  <si>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</si>
  <si>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</si>
  <si>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</si>
  <si>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</si>
  <si>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</si>
  <si>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</si>
  <si>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</si>
  <si>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</si>
  <si>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</si>
  <si>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</si>
  <si>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</si>
  <si>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</si>
  <si>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</si>
  <si>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</si>
  <si>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</si>
  <si>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</si>
  <si>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</si>
  <si>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</si>
  <si>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</si>
  <si>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</si>
  <si>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</si>
  <si>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</si>
  <si>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</si>
  <si>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</si>
  <si>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</si>
  <si>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</si>
  <si>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</si>
  <si>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</si>
  <si>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</si>
  <si>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</si>
  <si>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</si>
  <si>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</si>
  <si>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</si>
  <si>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</si>
  <si>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</si>
  <si>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</si>
  <si>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</si>
  <si>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</si>
  <si>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</si>
  <si>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</si>
  <si>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</si>
  <si>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</si>
  <si>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</si>
  <si>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</si>
  <si>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</si>
  <si>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</si>
  <si>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</si>
  <si>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</si>
  <si>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</si>
  <si>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</si>
  <si>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</si>
  <si>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</si>
  <si>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</si>
  <si>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</si>
  <si>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</si>
  <si>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</si>
  <si>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</si>
  <si>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</si>
  <si>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</si>
  <si>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</si>
  <si>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</si>
  <si>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</si>
  <si>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</si>
  <si>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</si>
  <si>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</si>
  <si>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</si>
  <si>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</si>
  <si>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</si>
  <si>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</si>
  <si>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</si>
  <si>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</si>
  <si>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</si>
  <si>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</si>
  <si>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</si>
  <si>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</si>
  <si>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</si>
  <si>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</si>
  <si>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</si>
  <si>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</si>
  <si>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</si>
  <si>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</si>
  <si>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</si>
  <si>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</si>
  <si>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</si>
  <si>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</si>
  <si>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</si>
  <si>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</si>
  <si>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</si>
  <si>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</si>
  <si>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</si>
  <si>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</si>
  <si>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</si>
  <si>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</si>
  <si>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</si>
  <si>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</si>
  <si>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</si>
  <si>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</si>
  <si>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</si>
  <si>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</si>
  <si>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</si>
  <si>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</si>
  <si>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</si>
  <si>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</si>
  <si>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</si>
  <si>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</si>
  <si>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</si>
  <si>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</si>
  <si>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</si>
  <si>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</si>
  <si>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</si>
  <si>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</si>
  <si>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</si>
  <si>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</si>
  <si>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</si>
  <si>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</si>
  <si>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</si>
  <si>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</si>
  <si>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</si>
  <si>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</si>
  <si>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</si>
  <si>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</si>
  <si>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</si>
  <si>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</si>
  <si>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</si>
  <si>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</si>
  <si>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</si>
  <si>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</si>
  <si>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</si>
  <si>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</si>
  <si>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</si>
  <si>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</si>
  <si>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</si>
  <si>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</si>
  <si>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</si>
  <si>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</si>
  <si>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</si>
  <si>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</si>
  <si>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</si>
  <si>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</si>
  <si>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</si>
  <si>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</si>
  <si>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</si>
  <si>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</si>
  <si>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</si>
  <si>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</si>
  <si>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</si>
  <si>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</si>
  <si>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</si>
  <si>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</si>
  <si>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</si>
  <si>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</si>
  <si>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</si>
  <si>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</si>
  <si>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</si>
  <si>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</si>
  <si>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</si>
  <si>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</si>
  <si>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</si>
  <si>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</si>
  <si>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</si>
  <si>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</si>
  <si>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</si>
  <si>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</si>
  <si>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</si>
  <si>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</si>
  <si>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</si>
  <si>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</si>
  <si>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</si>
  <si>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</si>
  <si>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</si>
  <si>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</si>
  <si>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</si>
  <si>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</si>
  <si>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</si>
  <si>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</si>
  <si>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</si>
  <si>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</si>
  <si>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</si>
  <si>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</si>
  <si>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</si>
  <si>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</si>
  <si>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</si>
  <si>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</si>
  <si>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</si>
  <si>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</si>
  <si>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</si>
  <si>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</si>
  <si>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</si>
  <si>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</si>
  <si>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</si>
  <si>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</si>
  <si>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</si>
  <si>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</si>
  <si>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</si>
  <si>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</si>
  <si>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</si>
  <si>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</si>
  <si>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</si>
  <si>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</si>
  <si>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</si>
  <si>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</si>
  <si>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</si>
  <si>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</si>
  <si>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</si>
  <si>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</si>
  <si>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</si>
  <si>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</si>
  <si>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</si>
  <si>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</si>
  <si>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</si>
  <si>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</si>
  <si>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</si>
  <si>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</si>
  <si>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</si>
  <si>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</si>
  <si>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</si>
  <si>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</si>
  <si>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</si>
  <si>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</si>
  <si>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</si>
  <si>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</si>
  <si>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</si>
  <si>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</si>
  <si>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</si>
  <si>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</si>
  <si>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</si>
  <si>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</si>
  <si>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</si>
  <si>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</si>
  <si>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</si>
  <si>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</si>
  <si>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</si>
  <si>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</si>
  <si>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</si>
  <si>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</si>
  <si>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</si>
  <si>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</si>
  <si>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</si>
  <si>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</si>
  <si>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</si>
  <si>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</si>
  <si>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</si>
  <si>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</si>
  <si>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</si>
  <si>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</si>
  <si>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</si>
  <si>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</si>
  <si>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</si>
  <si>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</si>
  <si>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</si>
  <si>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</si>
  <si>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</si>
  <si>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</si>
  <si>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</si>
  <si>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</si>
  <si>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</si>
  <si>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</si>
  <si>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</si>
  <si>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</si>
  <si>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</si>
  <si>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</si>
  <si>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</si>
  <si>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</si>
  <si>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</si>
  <si>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</si>
  <si>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</si>
  <si>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</si>
  <si>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</si>
  <si>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</si>
  <si>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</si>
  <si>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</si>
  <si>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</si>
  <si>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</si>
  <si>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</si>
  <si>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</si>
  <si>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</si>
  <si>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</si>
  <si>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</si>
  <si>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</si>
  <si>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</si>
  <si>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</si>
  <si>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</si>
  <si>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</si>
  <si>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</si>
  <si>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</si>
  <si>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</si>
  <si>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</si>
  <si>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</si>
  <si>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</si>
  <si>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</si>
  <si>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</si>
  <si>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</si>
  <si>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</si>
  <si>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</si>
  <si>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</si>
  <si>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</si>
  <si>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</si>
  <si>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</si>
  <si>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</si>
  <si>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</si>
  <si>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</si>
  <si>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</si>
  <si>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</si>
  <si>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</si>
  <si>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</si>
  <si>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</si>
  <si>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</si>
  <si>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</si>
  <si>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</si>
  <si>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</si>
  <si>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</si>
  <si>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</si>
  <si>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</si>
  <si>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</si>
  <si>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</si>
  <si>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</si>
  <si>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</si>
  <si>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</si>
  <si>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</si>
  <si>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</si>
  <si>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</si>
  <si>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</si>
  <si>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</si>
  <si>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</si>
  <si>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</si>
  <si>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</si>
  <si>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</si>
  <si>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</si>
  <si>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</si>
  <si>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</si>
  <si>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</si>
  <si>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</si>
  <si>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</si>
  <si>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</si>
  <si>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</si>
  <si>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</si>
  <si>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</si>
  <si>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</si>
  <si>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</si>
  <si>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</si>
  <si>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</si>
  <si>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</si>
  <si>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</si>
  <si>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</si>
  <si>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</si>
  <si>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</si>
  <si>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</si>
  <si>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</si>
  <si>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</si>
  <si>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</si>
  <si>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</si>
  <si>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</si>
  <si>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</si>
  <si>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</si>
  <si>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</si>
  <si>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</si>
  <si>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</si>
  <si>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</si>
  <si>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</si>
  <si>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</si>
  <si>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</si>
  <si>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</si>
  <si>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</si>
  <si>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</si>
  <si>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</si>
  <si>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</si>
  <si>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</si>
  <si>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</si>
  <si>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</si>
  <si>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</si>
  <si>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</si>
  <si>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</si>
  <si>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</si>
  <si>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</si>
  <si>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</si>
  <si>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</si>
  <si>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</si>
  <si>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</si>
  <si>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</si>
  <si>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</si>
  <si>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</si>
  <si>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</si>
  <si>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</si>
  <si>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</si>
  <si>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</si>
  <si>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</si>
  <si>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</si>
  <si>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</si>
  <si>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</si>
  <si>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</si>
  <si>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</si>
  <si>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</si>
  <si>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</si>
  <si>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</si>
  <si>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</si>
  <si>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</si>
  <si>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</si>
  <si>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</si>
  <si>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</si>
  <si>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</si>
  <si>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</si>
  <si>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</si>
  <si>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</si>
  <si>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</si>
  <si>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</si>
  <si>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</si>
  <si>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</si>
  <si>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</si>
  <si>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</si>
  <si>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</si>
  <si>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</si>
  <si>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</si>
  <si>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</si>
  <si>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</si>
  <si>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</si>
  <si>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</si>
  <si>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</si>
  <si>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</si>
  <si>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</si>
  <si>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</si>
  <si>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</si>
  <si>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</si>
  <si>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</si>
  <si>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</si>
  <si>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</si>
  <si>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</si>
  <si>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</si>
  <si>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</si>
  <si>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</si>
  <si>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</si>
  <si>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</si>
  <si>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</si>
  <si>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</si>
  <si>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</si>
  <si>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</si>
  <si>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</si>
  <si>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</si>
  <si>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</si>
  <si>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</si>
  <si>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</si>
  <si>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</si>
  <si>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</si>
  <si>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</si>
  <si>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</si>
  <si>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</si>
  <si>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</si>
  <si>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</si>
  <si>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</si>
  <si>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</si>
  <si>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</si>
  <si>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</si>
  <si>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</si>
  <si>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</si>
  <si>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</si>
  <si>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</si>
  <si>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</si>
  <si>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</si>
  <si>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</si>
  <si>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</si>
  <si>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</si>
  <si>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</si>
  <si>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</si>
  <si>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</si>
  <si>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</si>
  <si>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</si>
  <si>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</si>
  <si>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</si>
  <si>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</si>
  <si>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</si>
  <si>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</si>
  <si>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</si>
  <si>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</si>
  <si>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</si>
  <si>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</si>
  <si>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</si>
  <si>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</si>
  <si>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</si>
  <si>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</si>
  <si>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</si>
  <si>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</si>
  <si>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</si>
  <si>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</si>
  <si>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</si>
  <si>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</si>
  <si>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</si>
  <si>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</si>
  <si>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</si>
  <si>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</si>
  <si>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</si>
  <si>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</si>
  <si>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</si>
  <si>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</si>
  <si>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</si>
  <si>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</si>
  <si>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</si>
  <si>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</si>
  <si>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</si>
  <si>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</si>
  <si>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</si>
  <si>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</si>
  <si>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</si>
  <si>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</si>
  <si>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</si>
  <si>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</si>
  <si>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</si>
  <si>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</si>
  <si>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</si>
  <si>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</si>
  <si>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</si>
  <si>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</si>
  <si>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</si>
  <si>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</si>
  <si>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</si>
  <si>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</si>
  <si>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</si>
  <si>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</si>
  <si>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</si>
  <si>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</si>
  <si>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</si>
  <si>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</si>
  <si>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</si>
  <si>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</si>
  <si>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</si>
  <si>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</si>
  <si>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</si>
  <si>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</si>
  <si>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</si>
  <si>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</si>
  <si>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</si>
  <si>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</si>
  <si>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</si>
  <si>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</si>
  <si>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</si>
  <si>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</si>
  <si>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</si>
  <si>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</si>
  <si>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</si>
  <si>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</si>
  <si>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</si>
  <si>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</si>
  <si>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</si>
  <si>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</si>
  <si>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</si>
  <si>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</si>
  <si>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</si>
  <si>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</si>
  <si>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</si>
  <si>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</si>
  <si>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</si>
  <si>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</si>
  <si>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</si>
  <si>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</si>
  <si>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</si>
  <si>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</si>
  <si>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</si>
  <si>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</si>
  <si>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</si>
  <si>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</si>
  <si>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</si>
  <si>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</si>
  <si>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</si>
  <si>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</si>
  <si>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</si>
  <si>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</si>
  <si>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</si>
  <si>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</si>
  <si>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</si>
  <si>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</si>
  <si>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</si>
  <si>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</si>
  <si>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</si>
  <si>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</si>
  <si>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</si>
  <si>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</si>
  <si>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</si>
  <si>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</si>
  <si>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</si>
  <si>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</si>
  <si>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</si>
  <si>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</si>
  <si>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</si>
  <si>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</si>
  <si>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</si>
  <si>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</si>
  <si>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</si>
  <si>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</si>
  <si>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</si>
  <si>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</si>
  <si>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</si>
  <si>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</si>
  <si>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</si>
  <si>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</si>
  <si>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</si>
  <si>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</si>
  <si>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</si>
  <si>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</si>
  <si>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</si>
  <si>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</si>
  <si>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</si>
  <si>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</si>
  <si>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</si>
  <si>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</si>
  <si>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</si>
  <si>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</si>
  <si>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</si>
  <si>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</si>
  <si>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</si>
  <si>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</si>
  <si>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</si>
  <si>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</si>
  <si>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</si>
  <si>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</si>
  <si>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</si>
  <si>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</si>
  <si>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</si>
  <si>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</si>
  <si>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</si>
  <si>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</si>
  <si>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</si>
  <si>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</si>
  <si>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</si>
  <si>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</si>
  <si>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</si>
  <si>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</si>
  <si>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</si>
  <si>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</si>
  <si>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</si>
  <si>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</si>
  <si>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</si>
  <si>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</si>
  <si>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</si>
  <si>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</si>
  <si>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</si>
  <si>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</si>
  <si>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</si>
  <si>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</si>
  <si>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</si>
  <si>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</si>
  <si>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</si>
  <si>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</si>
  <si>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</si>
  <si>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</si>
  <si>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</si>
  <si>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</si>
  <si>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</si>
  <si>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</si>
  <si>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</si>
  <si>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</si>
  <si>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</si>
  <si>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</si>
  <si>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</si>
  <si>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</si>
  <si>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</si>
  <si>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</si>
  <si>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</si>
  <si>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</si>
  <si>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</si>
  <si>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</si>
  <si>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</si>
  <si>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</si>
  <si>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</si>
  <si>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</si>
  <si>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</si>
  <si>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</si>
  <si>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</si>
  <si>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</si>
  <si>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</si>
  <si>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</si>
  <si>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</si>
  <si>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</si>
  <si>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</si>
  <si>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</si>
  <si>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</si>
  <si>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</si>
  <si>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</si>
  <si>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</si>
  <si>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</si>
  <si>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</si>
  <si>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</si>
  <si>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</si>
  <si>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</si>
  <si>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</si>
  <si>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</si>
  <si>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</si>
  <si>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</si>
  <si>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</si>
  <si>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</si>
  <si>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</si>
  <si>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</si>
  <si>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</si>
  <si>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</si>
  <si>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</si>
  <si>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</si>
  <si>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</si>
  <si>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</si>
  <si>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</si>
  <si>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</si>
  <si>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</si>
  <si>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</si>
  <si>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</si>
  <si>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</si>
  <si>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</si>
  <si>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</si>
  <si>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</si>
  <si>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</si>
  <si>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</si>
  <si>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</si>
  <si>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</si>
  <si>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</si>
  <si>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</si>
  <si>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</si>
  <si>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</si>
  <si>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</si>
  <si>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</si>
  <si>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</si>
  <si>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</si>
  <si>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</si>
  <si>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</si>
  <si>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</si>
  <si>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</si>
  <si>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</si>
  <si>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</si>
  <si>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</si>
  <si>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</si>
  <si>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</si>
  <si>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</si>
  <si>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</si>
  <si>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</si>
  <si>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</si>
  <si>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</si>
  <si>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</si>
  <si>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</si>
  <si>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</si>
  <si>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</si>
  <si>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</si>
  <si>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</si>
  <si>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</si>
  <si>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</si>
  <si>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</si>
  <si>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</si>
  <si>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</si>
  <si>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</si>
  <si>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</si>
  <si>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</si>
  <si>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</si>
  <si>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</si>
  <si>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</si>
  <si>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</si>
  <si>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</si>
  <si>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</si>
  <si>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</si>
  <si>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</si>
  <si>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</si>
  <si>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</si>
  <si>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</si>
  <si>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</si>
  <si>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</si>
  <si>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</si>
  <si>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</si>
  <si>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</si>
  <si>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</si>
  <si>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</si>
  <si>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</si>
  <si>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</si>
  <si>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</si>
  <si>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</si>
  <si>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</si>
  <si>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</si>
  <si>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</si>
  <si>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</si>
  <si>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</si>
  <si>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</si>
  <si>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</si>
  <si>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</si>
  <si>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</si>
  <si>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</si>
  <si>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</si>
  <si>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</si>
  <si>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</si>
  <si>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</si>
  <si>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</si>
  <si>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</si>
  <si>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</si>
  <si>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</si>
  <si>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</si>
  <si>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</si>
  <si>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</si>
  <si>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</si>
  <si>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</si>
  <si>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</si>
  <si>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</si>
  <si>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</si>
  <si>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</si>
  <si>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</si>
  <si>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</si>
  <si>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</si>
  <si>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</si>
  <si>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</si>
  <si>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</si>
  <si>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</si>
  <si>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</si>
  <si>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</si>
  <si>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</si>
  <si>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</si>
  <si>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</si>
  <si>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</si>
  <si>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</si>
  <si>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</si>
  <si>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</si>
  <si>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</si>
  <si>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</si>
  <si>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</si>
  <si>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</si>
  <si>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</si>
  <si>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</si>
  <si>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</si>
  <si>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</si>
  <si>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</si>
  <si>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</si>
  <si>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</si>
  <si>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</si>
  <si>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</si>
  <si>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</si>
  <si>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</si>
  <si>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</si>
  <si>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</si>
  <si>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</si>
  <si>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</si>
  <si>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</si>
  <si>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</si>
  <si>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</si>
  <si>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</si>
  <si>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</si>
  <si>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</si>
  <si>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</si>
  <si>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</si>
  <si>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</si>
  <si>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</si>
  <si>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</si>
  <si>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</si>
  <si>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</si>
  <si>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</si>
  <si>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</si>
  <si>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</si>
  <si>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</si>
  <si>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</si>
  <si>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</si>
  <si>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</si>
  <si>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</si>
  <si>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</si>
  <si>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</si>
  <si>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</si>
  <si>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</si>
  <si>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</si>
  <si>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</si>
  <si>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</si>
  <si>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</si>
  <si>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</si>
  <si>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</si>
  <si>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</si>
  <si>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</si>
  <si>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</si>
  <si>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</si>
  <si>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</si>
  <si>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</si>
  <si>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</si>
  <si>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</si>
  <si>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</si>
  <si>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</si>
  <si>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</si>
  <si>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</si>
  <si>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</si>
  <si>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</si>
  <si>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</si>
  <si>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</si>
  <si>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</si>
  <si>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</si>
  <si>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</si>
  <si>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</si>
  <si>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</si>
  <si>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</si>
  <si>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</si>
  <si>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</si>
  <si>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</si>
  <si>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</si>
  <si>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</si>
  <si>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</si>
  <si>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</si>
  <si>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</si>
  <si>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</si>
  <si>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</si>
  <si>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</si>
  <si>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</si>
  <si>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</si>
  <si>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</si>
  <si>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</si>
  <si>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</si>
  <si>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</si>
  <si>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</si>
  <si>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</si>
  <si>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</si>
  <si>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</si>
  <si>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</si>
  <si>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</si>
  <si>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</si>
  <si>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</si>
  <si>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</si>
  <si>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</si>
  <si>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</si>
  <si>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</si>
  <si>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</si>
  <si>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</si>
  <si>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</si>
  <si>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</si>
  <si>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</si>
  <si>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</si>
  <si>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</si>
  <si>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</si>
  <si>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</si>
  <si>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</si>
  <si>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</si>
  <si>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</si>
  <si>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</si>
  <si>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</si>
  <si>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</si>
  <si>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</si>
  <si>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</si>
  <si>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</si>
  <si>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</si>
  <si>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</si>
  <si>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</si>
  <si>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</si>
  <si>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</si>
  <si>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</si>
  <si>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</si>
  <si>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</si>
  <si>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</si>
  <si>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</si>
  <si>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</si>
  <si>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</si>
  <si>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</si>
  <si>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</si>
  <si>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</si>
  <si>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</si>
  <si>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</si>
  <si>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</si>
  <si>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</si>
  <si>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</si>
  <si>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</si>
  <si>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</si>
  <si>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</si>
  <si>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</si>
  <si>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</si>
  <si>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</si>
  <si>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</si>
  <si>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</si>
  <si>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</si>
  <si>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</si>
  <si>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</si>
  <si>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</si>
  <si>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</si>
  <si>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</si>
  <si>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</si>
  <si>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</si>
  <si>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</si>
  <si>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</si>
  <si>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</si>
  <si>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</si>
  <si>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</si>
  <si>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</si>
  <si>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</si>
  <si>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</si>
  <si>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</si>
  <si>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</si>
  <si>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</si>
  <si>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</si>
  <si>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</si>
  <si>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</si>
  <si>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</si>
  <si>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</si>
  <si>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</si>
  <si>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</si>
  <si>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</si>
  <si>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</si>
  <si>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</si>
  <si>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</si>
  <si>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</si>
  <si>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</si>
  <si>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</si>
  <si>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</si>
  <si>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</si>
  <si>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</si>
  <si>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</si>
  <si>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</si>
  <si>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</si>
  <si>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</si>
  <si>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</si>
  <si>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</si>
  <si>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</si>
  <si>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</si>
  <si>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</si>
  <si>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</si>
  <si>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</si>
  <si>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</si>
  <si>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</si>
  <si>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</si>
  <si>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</si>
  <si>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</si>
  <si>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</si>
  <si>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</si>
  <si>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</si>
  <si>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</si>
  <si>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</si>
  <si>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</si>
  <si>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</si>
  <si>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</si>
  <si>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</si>
  <si>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</si>
  <si>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</si>
  <si>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</si>
  <si>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</si>
  <si>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</si>
  <si>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</si>
  <si>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</si>
  <si>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</si>
  <si>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</si>
  <si>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</si>
  <si>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</si>
  <si>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</si>
  <si>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</si>
  <si>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</si>
  <si>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</si>
  <si>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</si>
  <si>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</si>
  <si>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</si>
  <si>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</si>
  <si>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</si>
  <si>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</si>
  <si>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</si>
  <si>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</si>
  <si>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</si>
  <si>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</si>
  <si>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</si>
  <si>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</si>
  <si>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</si>
  <si>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</si>
  <si>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</si>
  <si>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</si>
  <si>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</si>
  <si>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</si>
  <si>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</si>
  <si>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</si>
  <si>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</si>
  <si>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</si>
  <si>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</si>
  <si>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</si>
  <si>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</si>
  <si>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</si>
  <si>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</si>
  <si>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</si>
  <si>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</si>
  <si>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</si>
  <si>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</si>
  <si>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</si>
  <si>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</si>
  <si>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</si>
  <si>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</si>
  <si>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</si>
  <si>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</si>
  <si>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</si>
  <si>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</si>
  <si>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</si>
  <si>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</si>
  <si>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</si>
  <si>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</si>
  <si>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</si>
  <si>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</si>
  <si>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</si>
  <si>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</si>
  <si>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</si>
  <si>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</si>
  <si>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</si>
  <si>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</si>
  <si>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</si>
  <si>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</si>
  <si>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</si>
  <si>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</si>
  <si>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</si>
  <si>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</si>
  <si>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</si>
  <si>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</si>
  <si>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</si>
  <si>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</si>
  <si>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</si>
  <si>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</si>
  <si>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</si>
  <si>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</si>
  <si>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</si>
  <si>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</si>
  <si>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</si>
  <si>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</si>
  <si>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</si>
  <si>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</si>
  <si>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</si>
  <si>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</si>
  <si>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</si>
  <si>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</si>
  <si>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</si>
  <si>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</si>
  <si>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</si>
  <si>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</si>
  <si>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</si>
  <si>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</si>
  <si>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</si>
  <si>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</si>
  <si>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</si>
  <si>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</si>
  <si>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</si>
  <si>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</si>
  <si>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</si>
  <si>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</si>
  <si>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</si>
  <si>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</si>
  <si>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</si>
  <si>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</si>
  <si>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</si>
  <si>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</si>
  <si>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</si>
  <si>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</si>
  <si>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</si>
  <si>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</si>
  <si>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</si>
  <si>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</si>
  <si>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</si>
  <si>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</si>
  <si>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</si>
  <si>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</si>
  <si>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</si>
  <si>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</si>
  <si>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</si>
  <si>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</si>
  <si>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</si>
  <si>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</si>
  <si>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</si>
  <si>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</si>
  <si>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</si>
  <si>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</si>
  <si>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</si>
  <si>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</si>
  <si>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</si>
  <si>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</si>
  <si>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</si>
  <si>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</si>
  <si>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</si>
  <si>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</si>
  <si>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</si>
  <si>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</si>
  <si>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</si>
  <si>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</si>
  <si>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</si>
  <si>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</si>
  <si>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</si>
  <si>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</si>
  <si>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</si>
  <si>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</si>
  <si>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</si>
  <si>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</si>
  <si>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</si>
  <si>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</si>
  <si>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</si>
  <si>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</si>
  <si>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</si>
  <si>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</si>
  <si>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</si>
  <si>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</si>
  <si>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</si>
  <si>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</si>
  <si>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</si>
  <si>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</si>
  <si>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</si>
  <si>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</si>
  <si>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</si>
  <si>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</si>
  <si>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</si>
  <si>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</si>
  <si>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</si>
  <si>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</si>
  <si>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</si>
  <si>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</si>
  <si>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</si>
  <si>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</si>
  <si>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</si>
  <si>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</si>
  <si>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</si>
  <si>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</si>
  <si>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</si>
  <si>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</si>
  <si>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</si>
  <si>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</si>
  <si>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</si>
  <si>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</si>
  <si>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</si>
  <si>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</si>
  <si>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</si>
  <si>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</si>
  <si>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</si>
  <si>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</si>
  <si>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</si>
  <si>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</si>
  <si>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</si>
  <si>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</si>
  <si>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</si>
  <si>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</si>
  <si>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</si>
  <si>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</si>
  <si>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</si>
  <si>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</si>
  <si>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</si>
  <si>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</si>
  <si>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</si>
  <si>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</si>
  <si>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</si>
  <si>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</si>
  <si>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</si>
  <si>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</si>
  <si>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</si>
  <si>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</si>
  <si>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</si>
  <si>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</si>
  <si>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</si>
  <si>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</si>
  <si>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</si>
  <si>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</si>
  <si>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</si>
  <si>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</si>
  <si>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</si>
  <si>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</si>
  <si>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</si>
  <si>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</si>
  <si>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</si>
  <si>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</si>
  <si>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</si>
  <si>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</si>
  <si>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</si>
  <si>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</si>
  <si>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</si>
  <si>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</si>
  <si>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</si>
  <si>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</si>
  <si>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</si>
  <si>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</si>
  <si>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</si>
  <si>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</si>
  <si>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</si>
  <si>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</si>
  <si>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</si>
  <si>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</si>
  <si>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</si>
  <si>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</si>
  <si>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</si>
  <si>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</si>
  <si>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</si>
  <si>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</si>
  <si>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</si>
  <si>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</si>
  <si>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</si>
  <si>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</si>
  <si>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</si>
  <si>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</si>
  <si>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</si>
  <si>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</si>
  <si>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</si>
  <si>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</si>
  <si>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</si>
  <si>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</si>
  <si>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</si>
  <si>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</si>
  <si>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</si>
  <si>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</si>
  <si>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</si>
  <si>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</si>
  <si>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</si>
  <si>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</si>
  <si>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</si>
  <si>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</si>
  <si>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</si>
  <si>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</si>
  <si>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</si>
  <si>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</si>
  <si>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</si>
  <si>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</si>
  <si>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</si>
  <si>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</si>
  <si>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</si>
  <si>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</si>
  <si>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</si>
  <si>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</si>
  <si>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</si>
  <si>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</si>
  <si>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</si>
  <si>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</si>
  <si>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</si>
  <si>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</si>
  <si>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</si>
  <si>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</si>
  <si>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</si>
  <si>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</si>
  <si>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</si>
  <si>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</si>
  <si>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</si>
  <si>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</si>
  <si>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</si>
  <si>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</si>
  <si>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</si>
  <si>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</si>
  <si>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</si>
  <si>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</si>
  <si>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</si>
  <si>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</si>
  <si>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</si>
  <si>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</si>
  <si>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</si>
  <si>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</si>
  <si>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</si>
  <si>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</si>
  <si>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</si>
  <si>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</si>
  <si>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</si>
  <si>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</si>
  <si>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</si>
  <si>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</si>
  <si>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</si>
  <si>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</si>
  <si>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</si>
  <si>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</si>
  <si>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</si>
  <si>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</si>
  <si>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</si>
  <si>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</si>
  <si>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</si>
  <si>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</si>
  <si>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</si>
  <si>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</si>
  <si>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</si>
  <si>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</si>
  <si>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</si>
  <si>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</si>
  <si>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</si>
  <si>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</si>
  <si>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</si>
  <si>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</si>
  <si>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</si>
  <si>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</si>
  <si>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</si>
  <si>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</si>
  <si>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</si>
  <si>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</si>
  <si>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</si>
  <si>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</si>
  <si>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</si>
  <si>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</si>
  <si>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</si>
  <si>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</si>
  <si>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</si>
  <si>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</si>
  <si>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</si>
  <si>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</si>
  <si>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</si>
  <si>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</si>
  <si>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</si>
  <si>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</si>
  <si>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</si>
  <si>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</si>
  <si>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</si>
  <si>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</si>
  <si>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</si>
  <si>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</si>
  <si>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</si>
  <si>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</si>
  <si>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</si>
  <si>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</si>
  <si>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</si>
  <si>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</si>
  <si>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</si>
  <si>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</si>
  <si>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</si>
  <si>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</si>
  <si>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</si>
  <si>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</si>
  <si>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</si>
  <si>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</si>
  <si>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</si>
  <si>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</si>
  <si>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</si>
  <si>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</si>
  <si>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</si>
  <si>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</si>
  <si>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</si>
  <si>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</si>
  <si>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</si>
  <si>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</si>
  <si>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</si>
  <si>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</si>
  <si>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</si>
  <si>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</si>
  <si>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</si>
  <si>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</si>
  <si>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</si>
  <si>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</si>
  <si>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</si>
  <si>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</si>
  <si>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</si>
  <si>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</si>
  <si>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</si>
  <si>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</si>
  <si>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</si>
  <si>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</si>
  <si>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</si>
  <si>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</si>
  <si>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</si>
  <si>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</si>
  <si>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</si>
  <si>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</si>
  <si>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</si>
  <si>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</si>
  <si>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</si>
  <si>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</si>
  <si>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</si>
  <si>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</si>
  <si>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</si>
  <si>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</si>
  <si>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</si>
  <si>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</si>
  <si>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</si>
  <si>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</si>
  <si>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</si>
  <si>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</si>
  <si>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</si>
  <si>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</si>
  <si>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</si>
  <si>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</si>
  <si>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</si>
  <si>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</si>
  <si>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</si>
  <si>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</si>
  <si>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</si>
  <si>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</si>
  <si>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</si>
  <si>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</si>
  <si>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</si>
  <si>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</si>
  <si>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</si>
  <si>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</si>
  <si>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</si>
  <si>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</si>
  <si>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</si>
  <si>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</si>
  <si>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</si>
  <si>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</si>
  <si>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</si>
  <si>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</si>
  <si>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</si>
  <si>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</si>
  <si>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</si>
  <si>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</si>
  <si>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</si>
  <si>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</si>
  <si>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</si>
  <si>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</si>
  <si>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</si>
  <si>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</si>
  <si>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</si>
  <si>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</si>
  <si>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</si>
  <si>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</si>
  <si>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</si>
  <si>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</si>
  <si>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</si>
  <si>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</si>
  <si>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</si>
  <si>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</si>
  <si>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</si>
  <si>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</si>
  <si>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</si>
  <si>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</si>
  <si>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</si>
  <si>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</si>
  <si>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</si>
  <si>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</si>
  <si>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</si>
  <si>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</si>
  <si>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</si>
  <si>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</si>
  <si>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</si>
  <si>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</si>
  <si>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</si>
  <si>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</si>
  <si>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</si>
  <si>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</si>
  <si>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</si>
  <si>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</si>
  <si>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</si>
  <si>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</si>
  <si>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</si>
  <si>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</si>
  <si>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</si>
  <si>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</si>
  <si>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</si>
  <si>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</si>
  <si>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</si>
  <si>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</si>
  <si>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</si>
  <si>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</si>
  <si>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</si>
  <si>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</si>
  <si>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</si>
  <si>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</si>
  <si>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</si>
  <si>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</si>
  <si>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</si>
  <si>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</si>
  <si>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</si>
  <si>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</si>
  <si>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</si>
  <si>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</si>
  <si>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</si>
  <si>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</si>
  <si>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</si>
  <si>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</si>
  <si>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</si>
  <si>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</si>
  <si>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</si>
  <si>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</si>
  <si>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</si>
  <si>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</si>
  <si>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</si>
  <si>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</si>
  <si>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</si>
  <si>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</si>
  <si>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</si>
  <si>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</si>
  <si>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</si>
  <si>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</si>
  <si>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</si>
  <si>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</si>
  <si>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</si>
  <si>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</si>
  <si>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</si>
  <si>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</si>
  <si>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</si>
  <si>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</si>
  <si>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</si>
  <si>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</si>
  <si>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</si>
  <si>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</si>
  <si>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</si>
  <si>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</si>
  <si>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</si>
  <si>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</si>
  <si>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</si>
  <si>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</si>
  <si>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</si>
  <si>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</si>
  <si>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</si>
  <si>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</si>
  <si>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</si>
  <si>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</si>
  <si>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</si>
  <si>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</si>
  <si>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</si>
  <si>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</si>
  <si>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</si>
  <si>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</si>
  <si>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</si>
  <si>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</si>
  <si>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</si>
  <si>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</si>
  <si>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</si>
  <si>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</si>
  <si>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</si>
  <si>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</si>
  <si>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</si>
  <si>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</si>
  <si>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</si>
  <si>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</si>
  <si>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</si>
  <si>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</si>
  <si>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</si>
  <si>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</si>
  <si>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</si>
  <si>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</si>
  <si>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</si>
  <si>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</si>
  <si>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</si>
  <si>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</si>
  <si>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</si>
  <si>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</si>
  <si>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</si>
  <si>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</si>
  <si>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</si>
  <si>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</si>
  <si>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</si>
  <si>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</si>
  <si>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</si>
  <si>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</si>
  <si>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</si>
  <si>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</si>
  <si>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</si>
  <si>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</si>
  <si>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</si>
  <si>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</si>
  <si>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</si>
  <si>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</si>
  <si>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</si>
  <si>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</si>
  <si>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</si>
  <si>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</si>
  <si>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</si>
  <si>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</si>
  <si>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</si>
  <si>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</si>
  <si>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</si>
  <si>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</si>
  <si>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</si>
  <si>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</si>
  <si>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</si>
  <si>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</si>
  <si>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</si>
  <si>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</si>
  <si>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</si>
  <si>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</si>
  <si>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</si>
  <si>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</si>
  <si>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</si>
  <si>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</si>
  <si>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</si>
  <si>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</si>
  <si>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</si>
  <si>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</si>
  <si>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</si>
  <si>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</si>
  <si>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</si>
  <si>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</si>
  <si>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</si>
  <si>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</si>
  <si>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</si>
  <si>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</si>
  <si>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</si>
  <si>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</si>
  <si>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</si>
  <si>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</si>
  <si>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</si>
  <si>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</si>
  <si>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</si>
  <si>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</si>
  <si>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</si>
  <si>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</si>
  <si>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</si>
  <si>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</si>
  <si>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</si>
  <si>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</si>
  <si>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</si>
  <si>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</si>
  <si>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</si>
  <si>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</si>
  <si>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</si>
  <si>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</si>
  <si>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</si>
  <si>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</si>
  <si>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</si>
  <si>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</si>
  <si>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</si>
  <si>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</si>
  <si>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</si>
  <si>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</si>
  <si>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</si>
  <si>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</si>
  <si>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</si>
  <si>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</si>
  <si>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</si>
  <si>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</si>
  <si>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</si>
  <si>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</si>
  <si>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</si>
  <si>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</si>
  <si>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</si>
  <si>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</si>
  <si>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</si>
  <si>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</si>
  <si>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</si>
  <si>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</si>
  <si>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</si>
  <si>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</si>
  <si>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</si>
  <si>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</si>
  <si>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</si>
  <si>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</si>
  <si>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</si>
  <si>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</si>
  <si>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</si>
  <si>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</si>
  <si>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</si>
  <si>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</si>
  <si>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</si>
  <si>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</si>
  <si>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</si>
  <si>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</si>
  <si>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</si>
  <si>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</si>
  <si>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</si>
  <si>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</si>
  <si>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</si>
  <si>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</si>
  <si>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</si>
  <si>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</si>
  <si>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</si>
  <si>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</si>
  <si>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</si>
  <si>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</si>
  <si>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</si>
  <si>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</si>
  <si>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</si>
  <si>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</si>
  <si>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</si>
  <si>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</si>
  <si>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</si>
  <si>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</si>
  <si>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</si>
  <si>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</si>
  <si>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</si>
  <si>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</si>
  <si>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</si>
  <si>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</si>
  <si>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</si>
  <si>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</si>
  <si>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</si>
  <si>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</si>
  <si>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</si>
  <si>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</si>
  <si>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</si>
  <si>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</si>
  <si>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</si>
  <si>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</si>
  <si>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</si>
  <si>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</si>
  <si>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</si>
  <si>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</si>
  <si>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</si>
  <si>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</si>
  <si>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</si>
  <si>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</si>
  <si>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</si>
  <si>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</si>
  <si>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</si>
  <si>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</si>
  <si>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</si>
  <si>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</si>
  <si>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</si>
  <si>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</si>
  <si>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</si>
  <si>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</si>
  <si>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</si>
  <si>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</si>
  <si>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</si>
  <si>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</si>
  <si>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</si>
  <si>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</si>
  <si>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</si>
  <si>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</si>
  <si>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</si>
  <si>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</si>
  <si>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</si>
  <si>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</si>
  <si>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</si>
  <si>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</si>
  <si>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</si>
  <si>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</si>
  <si>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</si>
  <si>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</si>
  <si>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</si>
  <si>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</si>
  <si>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</si>
  <si>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</si>
  <si>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</si>
  <si>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</si>
  <si>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</si>
  <si>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</si>
  <si>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</si>
  <si>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</si>
  <si>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</si>
  <si>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</si>
  <si>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</si>
  <si>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</si>
  <si>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</si>
  <si>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</si>
  <si>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</si>
  <si>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</si>
  <si>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</si>
  <si>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</si>
  <si>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</si>
  <si>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</si>
  <si>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</si>
  <si>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</si>
  <si>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</si>
  <si>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</si>
  <si>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</si>
  <si>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</si>
  <si>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</si>
  <si>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</si>
  <si>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</si>
  <si>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</si>
  <si>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</si>
  <si>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</si>
  <si>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</si>
  <si>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</si>
  <si>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</si>
  <si>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</si>
  <si>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</si>
  <si>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</si>
  <si>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</si>
  <si>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</si>
  <si>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</si>
  <si>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</si>
  <si>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</si>
  <si>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</si>
  <si>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</si>
  <si>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</si>
  <si>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</si>
  <si>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</si>
  <si>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</si>
  <si>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</si>
  <si>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</si>
  <si>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</si>
  <si>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</si>
  <si>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</si>
  <si>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</si>
  <si>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</si>
  <si>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</si>
  <si>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</si>
  <si>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</si>
  <si>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</si>
  <si>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</si>
  <si>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43158005754</t>
  </si>
  <si>
    <t>01731998</t>
  </si>
  <si>
    <t>070063707</t>
  </si>
  <si>
    <t>LJEKARNA VARAŽDINSKE ŽUPANIJE</t>
  </si>
  <si>
    <t>VARAŽDIN</t>
  </si>
  <si>
    <t>KOLODVORSKA 18</t>
  </si>
  <si>
    <t>racunovodstvo@ljekarna-vzz.hr</t>
  </si>
  <si>
    <t>042/212-955</t>
  </si>
  <si>
    <t>ADRIANA MARTINJAK</t>
  </si>
  <si>
    <t>MAGIĆ MIRKO</t>
  </si>
  <si>
    <t>HSFI</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</si>
</sst>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80" xfId="0" applyFont="1" applyFill="1" applyBorder="1" applyAlignment="1">
      <alignment horizontal="left" vertical="center"/>
    </xf>
    <xf numFmtId="0" fontId="46" fillId="45" borderId="80" xfId="0" applyFont="1" applyFill="1" applyBorder="1" applyAlignment="1">
      <alignment vertical="center"/>
    </xf>
    <xf numFmtId="0" fontId="1" fillId="0" borderId="80"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241836.08000000002</v>
      </c>
      <c r="I3" s="27">
        <f>ABS(ROUND(J3,0)-J3)+ABS(ROUND(K3,0)-K3)</f>
        <v>0</v>
      </c>
      <c r="J3" s="27">
        <f>Bilanca!I10</f>
        <v>4337922</v>
      </c>
      <c r="K3" s="27">
        <f>Bilanca!J10</f>
        <v>3876941</v>
      </c>
    </row>
    <row r="4" spans="1:11" ht="12.75">
      <c r="A4" s="4" t="s">
        <v>2697</v>
      </c>
      <c r="B4" s="25" t="s">
        <v>364</v>
      </c>
      <c r="D4" s="4" t="s">
        <v>554</v>
      </c>
      <c r="E4" s="4">
        <v>1</v>
      </c>
      <c r="F4" s="4">
        <f>Bilanca!G11</f>
        <v>3</v>
      </c>
      <c r="G4" s="4">
        <f>IF(Bilanca!H11=0,"",Bilanca!H11)</f>
      </c>
      <c r="H4" s="26">
        <f>J4/100*F4+2*K4/100*F4</f>
        <v>0</v>
      </c>
      <c r="I4" s="27">
        <f>ABS(ROUND(J4,0)-J4)+ABS(ROUND(K4,0)-K4)</f>
        <v>0</v>
      </c>
      <c r="J4" s="27">
        <f>Bilanca!I11</f>
        <v>0</v>
      </c>
      <c r="K4" s="27">
        <f>Bilanca!J11</f>
        <v>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01731998</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070063707</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43158005754</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LJEKARNA VARAŽDINSKE ŽUPANIJE</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42000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VARAŽDIN</v>
      </c>
      <c r="D11" s="4" t="s">
        <v>554</v>
      </c>
      <c r="E11" s="4">
        <v>1</v>
      </c>
      <c r="F11" s="4">
        <f>Bilanca!G18</f>
        <v>10</v>
      </c>
      <c r="G11" s="4">
        <f>IF(Bilanca!H18=0,"",Bilanca!H18)</f>
      </c>
      <c r="H11" s="26">
        <f t="shared" si="0"/>
        <v>1192985.9</v>
      </c>
      <c r="I11" s="27">
        <f t="shared" si="1"/>
        <v>0</v>
      </c>
      <c r="J11" s="27">
        <f>Bilanca!I18</f>
        <v>4281821</v>
      </c>
      <c r="K11" s="27">
        <f>Bilanca!J18</f>
        <v>3824019</v>
      </c>
    </row>
    <row r="12" spans="1:11" ht="12.75">
      <c r="A12" s="4" t="s">
        <v>2738</v>
      </c>
      <c r="B12" s="25" t="str">
        <f>TRIM(RefStr!C33)</f>
        <v>KOLODVORSKA 18</v>
      </c>
      <c r="D12" s="4" t="s">
        <v>554</v>
      </c>
      <c r="E12" s="4">
        <v>1</v>
      </c>
      <c r="F12" s="4">
        <f>Bilanca!G19</f>
        <v>11</v>
      </c>
      <c r="G12" s="4">
        <f>IF(Bilanca!H19=0,"",Bilanca!H19)</f>
      </c>
      <c r="H12" s="26">
        <f t="shared" si="0"/>
        <v>316.79999999999995</v>
      </c>
      <c r="I12" s="27">
        <f t="shared" si="1"/>
        <v>0</v>
      </c>
      <c r="J12" s="27">
        <f>Bilanca!I19</f>
        <v>960</v>
      </c>
      <c r="K12" s="27">
        <f>Bilanca!J19</f>
        <v>960</v>
      </c>
    </row>
    <row r="13" spans="1:11" ht="12.75">
      <c r="A13" s="4" t="s">
        <v>2884</v>
      </c>
      <c r="B13" s="25" t="str">
        <f>TRIM(RefStr!C35)</f>
        <v>racunovodstvo@ljekarna-vzz.hr</v>
      </c>
      <c r="D13" s="4" t="s">
        <v>554</v>
      </c>
      <c r="E13" s="4">
        <v>1</v>
      </c>
      <c r="F13" s="4">
        <f>Bilanca!G20</f>
        <v>12</v>
      </c>
      <c r="G13" s="4">
        <f>IF(Bilanca!H20=0,"",Bilanca!H20)</f>
      </c>
      <c r="H13" s="26">
        <f t="shared" si="0"/>
        <v>783609.6000000001</v>
      </c>
      <c r="I13" s="27">
        <f t="shared" si="1"/>
        <v>0</v>
      </c>
      <c r="J13" s="27">
        <f>Bilanca!I20</f>
        <v>2258284</v>
      </c>
      <c r="K13" s="27">
        <f>Bilanca!J20</f>
        <v>2135898</v>
      </c>
    </row>
    <row r="14" spans="1:11" ht="12.75">
      <c r="A14" s="4" t="s">
        <v>2885</v>
      </c>
      <c r="B14" s="25">
        <f>TRIM(RefStr!C37)</f>
      </c>
      <c r="D14" s="4" t="s">
        <v>554</v>
      </c>
      <c r="E14" s="4">
        <v>1</v>
      </c>
      <c r="F14" s="4">
        <f>Bilanca!G21</f>
        <v>13</v>
      </c>
      <c r="G14" s="4">
        <f>IF(Bilanca!H21=0,"",Bilanca!H21)</f>
      </c>
      <c r="H14" s="26">
        <f t="shared" si="0"/>
        <v>701596.87</v>
      </c>
      <c r="I14" s="27">
        <f t="shared" si="1"/>
        <v>0</v>
      </c>
      <c r="J14" s="27">
        <f>Bilanca!I21</f>
        <v>2022577</v>
      </c>
      <c r="K14" s="27">
        <f>Bilanca!J21</f>
        <v>1687161</v>
      </c>
    </row>
    <row r="15" spans="1:11" ht="12.75">
      <c r="A15" s="4" t="s">
        <v>2741</v>
      </c>
      <c r="B15" s="25" t="str">
        <f>TEXT(RefStr!J39,"00")</f>
        <v>05</v>
      </c>
      <c r="D15" s="4" t="s">
        <v>554</v>
      </c>
      <c r="E15" s="4">
        <v>1</v>
      </c>
      <c r="F15" s="4">
        <f>Bilanca!G22</f>
        <v>14</v>
      </c>
      <c r="G15" s="4">
        <f>IF(Bilanca!H22=0,"",Bilanca!H22)</f>
      </c>
      <c r="H15" s="26">
        <f t="shared" si="0"/>
        <v>0</v>
      </c>
      <c r="I15" s="27">
        <f t="shared" si="1"/>
        <v>0</v>
      </c>
      <c r="J15" s="27">
        <f>Bilanca!I22</f>
        <v>0</v>
      </c>
      <c r="K15" s="27">
        <f>Bilanca!J22</f>
        <v>0</v>
      </c>
    </row>
    <row r="16" spans="1:11" ht="12.75">
      <c r="A16" s="4" t="s">
        <v>2740</v>
      </c>
      <c r="B16" s="25" t="str">
        <f>TEXT(RefStr!C39,"000")</f>
        <v>472</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4773</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1</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2</v>
      </c>
      <c r="D21" s="4" t="s">
        <v>554</v>
      </c>
      <c r="E21" s="4">
        <v>1</v>
      </c>
      <c r="F21" s="4">
        <f>Bilanca!G28</f>
        <v>20</v>
      </c>
      <c r="G21" s="4">
        <f>IF(Bilanca!H28=0,"",Bilanca!H28)</f>
      </c>
      <c r="H21" s="26">
        <f t="shared" si="0"/>
        <v>32389.000000000004</v>
      </c>
      <c r="I21" s="27">
        <f t="shared" si="1"/>
        <v>0</v>
      </c>
      <c r="J21" s="27">
        <f>Bilanca!I28</f>
        <v>56101</v>
      </c>
      <c r="K21" s="27">
        <f>Bilanca!J28</f>
        <v>52922</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59</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62</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58</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62</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48583.5</v>
      </c>
      <c r="I31" s="27">
        <f t="shared" si="1"/>
        <v>0</v>
      </c>
      <c r="J31" s="27">
        <f>Bilanca!I38</f>
        <v>56101</v>
      </c>
      <c r="K31" s="27">
        <f>Bilanca!J38</f>
        <v>52922</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28510495.04</v>
      </c>
      <c r="I38" s="27">
        <f t="shared" si="1"/>
        <v>0</v>
      </c>
      <c r="J38" s="27">
        <f>Bilanca!I45</f>
        <v>24803628</v>
      </c>
      <c r="K38" s="27">
        <f>Bilanca!J45</f>
        <v>26125882</v>
      </c>
    </row>
    <row r="39" spans="1:11" ht="12.75">
      <c r="A39" s="4" t="s">
        <v>1611</v>
      </c>
      <c r="B39" s="25" t="str">
        <f>RefStr!C68</f>
        <v>ADRIANA MARTINJAK</v>
      </c>
      <c r="D39" s="4" t="s">
        <v>554</v>
      </c>
      <c r="E39" s="4">
        <v>1</v>
      </c>
      <c r="F39" s="4">
        <f>Bilanca!G46</f>
        <v>38</v>
      </c>
      <c r="G39" s="4">
        <f>IF(Bilanca!H46=0,"",Bilanca!H46)</f>
      </c>
      <c r="H39" s="26">
        <f t="shared" si="0"/>
        <v>8688018.280000001</v>
      </c>
      <c r="I39" s="27">
        <f t="shared" si="1"/>
        <v>0</v>
      </c>
      <c r="J39" s="27">
        <f>Bilanca!I46</f>
        <v>7508658</v>
      </c>
      <c r="K39" s="27">
        <f>Bilanca!J46</f>
        <v>7677274</v>
      </c>
    </row>
    <row r="40" spans="1:11" ht="12.75">
      <c r="A40" s="4" t="s">
        <v>1612</v>
      </c>
      <c r="B40" s="25" t="str">
        <f>TRIM(RefStr!C70)</f>
        <v>042/212-955</v>
      </c>
      <c r="D40" s="4" t="s">
        <v>554</v>
      </c>
      <c r="E40" s="4">
        <v>1</v>
      </c>
      <c r="F40" s="4">
        <f>Bilanca!G47</f>
        <v>39</v>
      </c>
      <c r="G40" s="4">
        <f>IF(Bilanca!H47=0,"",Bilanca!H47)</f>
      </c>
      <c r="H40" s="26">
        <f t="shared" si="0"/>
        <v>98418.45000000001</v>
      </c>
      <c r="I40" s="27">
        <f t="shared" si="1"/>
        <v>0</v>
      </c>
      <c r="J40" s="27">
        <f>Bilanca!I47</f>
        <v>91267</v>
      </c>
      <c r="K40" s="27">
        <f>Bilanca!J47</f>
        <v>80544</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racunovodstvo@ljekarna-vzz.hr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MAGIĆ MIRKO</v>
      </c>
      <c r="D43" s="4" t="s">
        <v>554</v>
      </c>
      <c r="E43" s="4">
        <v>1</v>
      </c>
      <c r="F43" s="4">
        <f>Bilanca!G50</f>
        <v>42</v>
      </c>
      <c r="G43" s="4">
        <f>IF(Bilanca!H50=0,"",Bilanca!H50)</f>
      </c>
      <c r="H43" s="26">
        <f t="shared" si="0"/>
        <v>9496557.42</v>
      </c>
      <c r="I43" s="27">
        <f t="shared" si="1"/>
        <v>0</v>
      </c>
      <c r="J43" s="27">
        <f>Bilanca!I50</f>
        <v>7417391</v>
      </c>
      <c r="K43" s="27">
        <f>Bilanca!J50</f>
        <v>7596730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23015858.96</v>
      </c>
      <c r="I47" s="27">
        <f t="shared" si="3"/>
        <v>0</v>
      </c>
      <c r="J47" s="27">
        <f>Bilanca!I54</f>
        <v>16068506</v>
      </c>
      <c r="K47" s="27">
        <f>Bilanca!J54</f>
        <v>16982985</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23846571.77</v>
      </c>
      <c r="I50" s="27">
        <f t="shared" si="3"/>
        <v>0</v>
      </c>
      <c r="J50" s="27">
        <f>Bilanca!I57</f>
        <v>15634177</v>
      </c>
      <c r="K50" s="27">
        <f>Bilanca!J57</f>
        <v>16516148</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617088.78</v>
      </c>
      <c r="I52" s="27">
        <f t="shared" si="3"/>
        <v>0</v>
      </c>
      <c r="J52" s="27">
        <f>Bilanca!I59</f>
        <v>381654</v>
      </c>
      <c r="K52" s="27">
        <f>Bilanca!J59</f>
        <v>414162</v>
      </c>
    </row>
    <row r="53" spans="1:11" ht="12.75">
      <c r="A53" s="4" t="s">
        <v>1301</v>
      </c>
      <c r="B53" s="25" t="str">
        <f>RefStr!I56</f>
        <v>NE</v>
      </c>
      <c r="D53" s="4" t="s">
        <v>554</v>
      </c>
      <c r="E53" s="4">
        <v>1</v>
      </c>
      <c r="F53" s="4">
        <f>Bilanca!G60</f>
        <v>52</v>
      </c>
      <c r="G53" s="4">
        <f>IF(Bilanca!H60=0,"",Bilanca!H60)</f>
      </c>
      <c r="H53" s="26">
        <f t="shared" si="2"/>
        <v>82173</v>
      </c>
      <c r="I53" s="27">
        <f t="shared" si="3"/>
        <v>0</v>
      </c>
      <c r="J53" s="27">
        <f>Bilanca!I60</f>
        <v>52675</v>
      </c>
      <c r="K53" s="27">
        <f>Bilanca!J60</f>
        <v>52675</v>
      </c>
    </row>
    <row r="54" spans="1:11" ht="12.75">
      <c r="A54" s="4" t="s">
        <v>1302</v>
      </c>
      <c r="B54" s="25" t="str">
        <f>RefStr!I62</f>
        <v>NE</v>
      </c>
      <c r="D54" s="4" t="s">
        <v>554</v>
      </c>
      <c r="E54" s="4">
        <v>1</v>
      </c>
      <c r="F54" s="4">
        <f>Bilanca!G61</f>
        <v>53</v>
      </c>
      <c r="G54" s="4">
        <f>IF(Bilanca!H61=0,"",Bilanca!H61)</f>
      </c>
      <c r="H54" s="26">
        <f t="shared" si="2"/>
        <v>336567.49</v>
      </c>
      <c r="I54" s="27">
        <f t="shared" si="3"/>
        <v>0</v>
      </c>
      <c r="J54" s="27">
        <f>Bilanca!I61</f>
        <v>189821</v>
      </c>
      <c r="K54" s="27">
        <f>Bilanca!J61</f>
        <v>222606</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NE</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NE</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4620184072.63</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393720.46</v>
      </c>
      <c r="I63" s="27">
        <f t="shared" si="3"/>
        <v>0</v>
      </c>
      <c r="J63" s="27">
        <f>Bilanca!I70</f>
        <v>189821</v>
      </c>
      <c r="K63" s="27">
        <f>Bilanca!J70</f>
        <v>222606</v>
      </c>
    </row>
    <row r="64" spans="1:11" ht="12.75">
      <c r="A64" s="4" t="s">
        <v>200</v>
      </c>
      <c r="B64" s="25" t="str">
        <f>RefStr!N6</f>
        <v>DA</v>
      </c>
      <c r="D64" s="4" t="s">
        <v>554</v>
      </c>
      <c r="E64" s="4">
        <v>1</v>
      </c>
      <c r="F64" s="4">
        <f>Bilanca!G71</f>
        <v>63</v>
      </c>
      <c r="G64" s="4">
        <f>IF(Bilanca!H71=0,"",Bilanca!H71)</f>
      </c>
      <c r="H64" s="26">
        <f t="shared" si="2"/>
        <v>2219286.51</v>
      </c>
      <c r="I64" s="27">
        <f t="shared" si="3"/>
        <v>0</v>
      </c>
      <c r="J64" s="27">
        <f>Bilanca!I71</f>
        <v>1036643</v>
      </c>
      <c r="K64" s="27">
        <f>Bilanca!J71</f>
        <v>1243017</v>
      </c>
    </row>
    <row r="65" spans="1:11" ht="12.75">
      <c r="A65" s="4" t="s">
        <v>923</v>
      </c>
      <c r="B65" s="25" t="str">
        <f>TRIM(RefStr!N19)</f>
        <v>HSFI</v>
      </c>
      <c r="D65" s="4" t="s">
        <v>554</v>
      </c>
      <c r="E65" s="4">
        <v>1</v>
      </c>
      <c r="F65" s="4">
        <f>Bilanca!G72</f>
        <v>64</v>
      </c>
      <c r="G65" s="4">
        <f>IF(Bilanca!H72=0,"",Bilanca!H72)</f>
      </c>
      <c r="H65" s="26">
        <f t="shared" si="2"/>
        <v>6814.08</v>
      </c>
      <c r="I65" s="27">
        <f t="shared" si="3"/>
        <v>0</v>
      </c>
      <c r="J65" s="27">
        <f>Bilanca!I72</f>
        <v>5133</v>
      </c>
      <c r="K65" s="27">
        <f>Bilanca!J72</f>
        <v>2757</v>
      </c>
    </row>
    <row r="66" spans="1:11" ht="12.75">
      <c r="A66" s="4" t="s">
        <v>924</v>
      </c>
      <c r="B66" s="25">
        <f>RefStr!C23</f>
        <v>1</v>
      </c>
      <c r="D66" s="4" t="s">
        <v>554</v>
      </c>
      <c r="E66" s="4">
        <v>1</v>
      </c>
      <c r="F66" s="4">
        <f>Bilanca!G73</f>
        <v>65</v>
      </c>
      <c r="G66" s="4">
        <f>IF(Bilanca!H73=0,"",Bilanca!H73)</f>
      </c>
      <c r="H66" s="26">
        <f t="shared" si="2"/>
        <v>57952597.95</v>
      </c>
      <c r="I66" s="27">
        <f t="shared" si="3"/>
        <v>0</v>
      </c>
      <c r="J66" s="27">
        <f>Bilanca!I73</f>
        <v>29146683</v>
      </c>
      <c r="K66" s="27">
        <f>Bilanca!J73</f>
        <v>30005580</v>
      </c>
    </row>
    <row r="67" spans="1:11" ht="12.75">
      <c r="A67" s="4" t="s">
        <v>925</v>
      </c>
      <c r="B67" s="25" t="str">
        <f>TRIM(RefStr!L35)</f>
        <v>042/212-955</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10</v>
      </c>
      <c r="D68" s="4" t="s">
        <v>554</v>
      </c>
      <c r="E68" s="4">
        <v>1</v>
      </c>
      <c r="F68" s="4">
        <f>Bilanca!G76</f>
        <v>67</v>
      </c>
      <c r="G68" s="4">
        <f>IF(Bilanca!H76=0,"",Bilanca!H76)</f>
      </c>
      <c r="H68" s="26">
        <f t="shared" si="2"/>
        <v>38168760.33</v>
      </c>
      <c r="I68" s="27">
        <f t="shared" si="3"/>
        <v>0</v>
      </c>
      <c r="J68" s="27">
        <f>Bilanca!I76</f>
        <v>18438849</v>
      </c>
      <c r="K68" s="27">
        <f>Bilanca!J76</f>
        <v>19264725</v>
      </c>
    </row>
    <row r="69" spans="1:11" ht="12.75">
      <c r="A69" s="4" t="s">
        <v>927</v>
      </c>
      <c r="B69" s="25">
        <f>TRIM(RefStr!M46)</f>
      </c>
      <c r="D69" s="4" t="s">
        <v>554</v>
      </c>
      <c r="E69" s="4">
        <v>1</v>
      </c>
      <c r="F69" s="4">
        <f>Bilanca!G77</f>
        <v>68</v>
      </c>
      <c r="G69" s="4">
        <f>IF(Bilanca!H77=0,"",Bilanca!H77)</f>
      </c>
      <c r="H69" s="26">
        <f t="shared" si="2"/>
        <v>30332231.64</v>
      </c>
      <c r="I69" s="27">
        <f t="shared" si="3"/>
        <v>0</v>
      </c>
      <c r="J69" s="27">
        <f>Bilanca!I77</f>
        <v>14868741</v>
      </c>
      <c r="K69" s="27">
        <f>Bilanca!J77</f>
        <v>14868741</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5267051.35</v>
      </c>
      <c r="I84" s="27">
        <f t="shared" si="3"/>
        <v>0</v>
      </c>
      <c r="J84" s="27">
        <f>Bilanca!I92</f>
        <v>1387869</v>
      </c>
      <c r="K84" s="27">
        <f>Bilanca!J92</f>
        <v>2478988</v>
      </c>
    </row>
    <row r="85" spans="4:11" ht="12.75">
      <c r="D85" s="4" t="s">
        <v>554</v>
      </c>
      <c r="E85" s="4">
        <v>1</v>
      </c>
      <c r="F85" s="4">
        <f>Bilanca!G93</f>
        <v>84</v>
      </c>
      <c r="G85" s="4">
        <f>IF(Bilanca!H93=0,"",Bilanca!H93)</f>
      </c>
      <c r="H85" s="26">
        <f t="shared" si="2"/>
        <v>5330509.800000001</v>
      </c>
      <c r="I85" s="27">
        <f t="shared" si="3"/>
        <v>0</v>
      </c>
      <c r="J85" s="27">
        <f>Bilanca!I93</f>
        <v>1387869</v>
      </c>
      <c r="K85" s="27">
        <f>Bilanca!J93</f>
        <v>2478988</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5173958.66</v>
      </c>
      <c r="I87" s="27">
        <f>ABS(ROUND(J87,0)-J87)+ABS(ROUND(K87,0)-K87)</f>
        <v>0</v>
      </c>
      <c r="J87" s="27">
        <f>Bilanca!I95</f>
        <v>2182239</v>
      </c>
      <c r="K87" s="27">
        <f>Bilanca!J95</f>
        <v>1916996</v>
      </c>
    </row>
    <row r="88" spans="4:11" ht="12.75">
      <c r="D88" s="4" t="s">
        <v>554</v>
      </c>
      <c r="E88" s="4">
        <v>1</v>
      </c>
      <c r="F88" s="4">
        <f>Bilanca!G96</f>
        <v>87</v>
      </c>
      <c r="G88" s="4">
        <f>IF(Bilanca!H96=0,"",Bilanca!H96)</f>
      </c>
      <c r="H88" s="26">
        <f>J88/100*F88+2*K88/100*F88</f>
        <v>5234120.97</v>
      </c>
      <c r="I88" s="27">
        <f>ABS(ROUND(J88,0)-J88)+ABS(ROUND(K88,0)-K88)</f>
        <v>0</v>
      </c>
      <c r="J88" s="27">
        <f>Bilanca!I96</f>
        <v>2182239</v>
      </c>
      <c r="K88" s="27">
        <f>Bilanca!J96</f>
        <v>1916996</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95098.80000000002</v>
      </c>
      <c r="I98" s="27">
        <f t="shared" si="5"/>
        <v>0</v>
      </c>
      <c r="J98" s="27">
        <f>Bilanca!I106</f>
        <v>34058</v>
      </c>
      <c r="K98" s="27">
        <f>Bilanca!J106</f>
        <v>31991</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104902.8</v>
      </c>
      <c r="I108" s="27">
        <f t="shared" si="5"/>
        <v>0</v>
      </c>
      <c r="J108" s="27">
        <f>Bilanca!I116</f>
        <v>34058</v>
      </c>
      <c r="K108" s="27">
        <f>Bilanca!J116</f>
        <v>31991</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31280744.79</v>
      </c>
      <c r="I110" s="27">
        <f t="shared" si="5"/>
        <v>0</v>
      </c>
      <c r="J110" s="27">
        <f>Bilanca!I118</f>
        <v>9540851</v>
      </c>
      <c r="K110" s="27">
        <f>Bilanca!J118</f>
        <v>9578540</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26525416.32</v>
      </c>
      <c r="I118" s="27">
        <f t="shared" si="5"/>
        <v>0</v>
      </c>
      <c r="J118" s="27">
        <f>Bilanca!I126</f>
        <v>7799988</v>
      </c>
      <c r="K118" s="27">
        <f>Bilanca!J126</f>
        <v>7435654</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3147365.55</v>
      </c>
      <c r="I120" s="27">
        <f t="shared" si="5"/>
        <v>0</v>
      </c>
      <c r="J120" s="27">
        <f>Bilanca!I128</f>
        <v>656921</v>
      </c>
      <c r="K120" s="27">
        <f>Bilanca!J128</f>
        <v>993962</v>
      </c>
    </row>
    <row r="121" spans="4:11" ht="12.75">
      <c r="D121" s="4" t="s">
        <v>554</v>
      </c>
      <c r="E121" s="4">
        <v>1</v>
      </c>
      <c r="F121" s="4">
        <f>Bilanca!G129</f>
        <v>120</v>
      </c>
      <c r="G121" s="4">
        <f>IF(Bilanca!H129=0,"",Bilanca!H129)</f>
      </c>
      <c r="H121" s="26">
        <f t="shared" si="4"/>
        <v>4014710.4000000004</v>
      </c>
      <c r="I121" s="27">
        <f t="shared" si="5"/>
        <v>0</v>
      </c>
      <c r="J121" s="27">
        <f>Bilanca!I129</f>
        <v>1073436</v>
      </c>
      <c r="K121" s="27">
        <f>Bilanca!J129</f>
        <v>1136078</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44523.54000000001</v>
      </c>
      <c r="I124" s="27">
        <f t="shared" si="5"/>
        <v>0</v>
      </c>
      <c r="J124" s="27">
        <f>Bilanca!I132</f>
        <v>10506</v>
      </c>
      <c r="K124" s="27">
        <f>Bilanca!J132</f>
        <v>12846</v>
      </c>
    </row>
    <row r="125" spans="4:11" ht="12.75">
      <c r="D125" s="4" t="s">
        <v>554</v>
      </c>
      <c r="E125" s="4">
        <v>1</v>
      </c>
      <c r="F125" s="4">
        <f>Bilanca!G133</f>
        <v>124</v>
      </c>
      <c r="G125" s="4">
        <f>IF(Bilanca!H133=0,"",Bilanca!H133)</f>
      </c>
      <c r="H125" s="26">
        <f t="shared" si="4"/>
        <v>4208030.52</v>
      </c>
      <c r="I125" s="27">
        <f t="shared" si="5"/>
        <v>0</v>
      </c>
      <c r="J125" s="27">
        <f>Bilanca!I133</f>
        <v>1132925</v>
      </c>
      <c r="K125" s="27">
        <f>Bilanca!J133</f>
        <v>1130324</v>
      </c>
    </row>
    <row r="126" spans="4:11" ht="12.75">
      <c r="D126" s="4" t="s">
        <v>554</v>
      </c>
      <c r="E126" s="4">
        <v>1</v>
      </c>
      <c r="F126" s="4">
        <f>Bilanca!G134</f>
        <v>125</v>
      </c>
      <c r="G126" s="4">
        <f>IF(Bilanca!H134=0,"",Bilanca!H134)</f>
      </c>
      <c r="H126" s="26">
        <f t="shared" si="4"/>
        <v>111447303.75</v>
      </c>
      <c r="I126" s="27">
        <f t="shared" si="5"/>
        <v>0</v>
      </c>
      <c r="J126" s="27">
        <f>Bilanca!I134</f>
        <v>29146683</v>
      </c>
      <c r="K126" s="27">
        <f>Bilanca!J134</f>
        <v>30005580</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324450580.46000004</v>
      </c>
      <c r="I128" s="4">
        <f t="shared" si="5"/>
        <v>0</v>
      </c>
      <c r="J128" s="27">
        <f>RDG!I8</f>
        <v>77765372</v>
      </c>
      <c r="K128" s="27">
        <f>RDG!J8</f>
        <v>88853763</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293521603.83</v>
      </c>
      <c r="I130" s="4">
        <f aca="true" t="shared" si="7" ref="I130:I192">ABS(ROUND(J130,0)-J130)+ABS(ROUND(K130,0)-K130)</f>
        <v>0</v>
      </c>
      <c r="J130" s="27">
        <f>RDG!I10</f>
        <v>68690871</v>
      </c>
      <c r="K130" s="27">
        <f>RDG!J10</f>
        <v>79422628</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36876537.72</v>
      </c>
      <c r="I133" s="4">
        <f t="shared" si="7"/>
        <v>0</v>
      </c>
      <c r="J133" s="27">
        <f>RDG!I13</f>
        <v>9074501</v>
      </c>
      <c r="K133" s="27">
        <f>RDG!J13</f>
        <v>9431135</v>
      </c>
    </row>
    <row r="134" spans="4:11" ht="12.75">
      <c r="D134" s="4" t="s">
        <v>794</v>
      </c>
      <c r="E134" s="4">
        <v>2</v>
      </c>
      <c r="F134" s="4">
        <f>RDG!G14</f>
        <v>133</v>
      </c>
      <c r="G134" s="4">
        <f>IF(RDG!H14=0,"",RDG!H14)</f>
      </c>
      <c r="H134" s="26">
        <f t="shared" si="6"/>
        <v>330034625.55</v>
      </c>
      <c r="I134" s="4">
        <f t="shared" si="7"/>
        <v>0</v>
      </c>
      <c r="J134" s="27">
        <f>RDG!I14</f>
        <v>75105373</v>
      </c>
      <c r="K134" s="27">
        <f>RDG!J14</f>
        <v>86520481</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272720989.79999995</v>
      </c>
      <c r="I136" s="4">
        <f t="shared" si="7"/>
        <v>0</v>
      </c>
      <c r="J136" s="27">
        <f>RDG!I16</f>
        <v>61456732</v>
      </c>
      <c r="K136" s="27">
        <f>RDG!J16</f>
        <v>70279408</v>
      </c>
    </row>
    <row r="137" spans="4:11" ht="12.75">
      <c r="D137" s="4" t="s">
        <v>794</v>
      </c>
      <c r="E137" s="4">
        <v>2</v>
      </c>
      <c r="F137" s="4">
        <f>RDG!G17</f>
        <v>136</v>
      </c>
      <c r="G137" s="4">
        <f>IF(RDG!H17=0,"",RDG!H17)</f>
      </c>
      <c r="H137" s="26">
        <f t="shared" si="6"/>
        <v>2496605.04</v>
      </c>
      <c r="I137" s="4">
        <f t="shared" si="7"/>
        <v>0</v>
      </c>
      <c r="J137" s="27">
        <f>RDG!I17</f>
        <v>470843</v>
      </c>
      <c r="K137" s="27">
        <f>RDG!J17</f>
        <v>682448</v>
      </c>
    </row>
    <row r="138" spans="4:11" ht="12.75">
      <c r="D138" s="4" t="s">
        <v>794</v>
      </c>
      <c r="E138" s="4">
        <v>2</v>
      </c>
      <c r="F138" s="4">
        <f>RDG!G18</f>
        <v>137</v>
      </c>
      <c r="G138" s="4">
        <f>IF(RDG!H18=0,"",RDG!H18)</f>
      </c>
      <c r="H138" s="26">
        <f t="shared" si="6"/>
        <v>267014067.23000002</v>
      </c>
      <c r="I138" s="4">
        <f t="shared" si="7"/>
        <v>0</v>
      </c>
      <c r="J138" s="27">
        <f>RDG!I18</f>
        <v>59112367</v>
      </c>
      <c r="K138" s="27">
        <f>RDG!J18</f>
        <v>67894206</v>
      </c>
    </row>
    <row r="139" spans="4:11" ht="12.75">
      <c r="D139" s="4" t="s">
        <v>794</v>
      </c>
      <c r="E139" s="4">
        <v>2</v>
      </c>
      <c r="F139" s="4">
        <f>RDG!G19</f>
        <v>138</v>
      </c>
      <c r="G139" s="4">
        <f>IF(RDG!H19=0,"",RDG!H19)</f>
      </c>
      <c r="H139" s="26">
        <f t="shared" si="6"/>
        <v>7285061.4</v>
      </c>
      <c r="I139" s="4">
        <f t="shared" si="7"/>
        <v>0</v>
      </c>
      <c r="J139" s="27">
        <f>RDG!I19</f>
        <v>1873522</v>
      </c>
      <c r="K139" s="27">
        <f>RDG!J19</f>
        <v>1702754</v>
      </c>
    </row>
    <row r="140" spans="4:11" ht="12.75">
      <c r="D140" s="4" t="s">
        <v>794</v>
      </c>
      <c r="E140" s="4">
        <v>2</v>
      </c>
      <c r="F140" s="4">
        <f>RDG!G20</f>
        <v>139</v>
      </c>
      <c r="G140" s="4">
        <f>IF(RDG!H20=0,"",RDG!H20)</f>
      </c>
      <c r="H140" s="26">
        <f t="shared" si="6"/>
        <v>50962618.059999995</v>
      </c>
      <c r="I140" s="4">
        <f t="shared" si="7"/>
        <v>0</v>
      </c>
      <c r="J140" s="27">
        <f>RDG!I20</f>
        <v>11076336</v>
      </c>
      <c r="K140" s="27">
        <f>RDG!J20</f>
        <v>12793709</v>
      </c>
    </row>
    <row r="141" spans="4:11" ht="12.75">
      <c r="D141" s="4" t="s">
        <v>794</v>
      </c>
      <c r="E141" s="4">
        <v>2</v>
      </c>
      <c r="F141" s="4">
        <f>RDG!G21</f>
        <v>140</v>
      </c>
      <c r="G141" s="4">
        <f>IF(RDG!H21=0,"",RDG!H21)</f>
      </c>
      <c r="H141" s="26">
        <f t="shared" si="6"/>
        <v>31649658.6</v>
      </c>
      <c r="I141" s="4">
        <f t="shared" si="7"/>
        <v>0</v>
      </c>
      <c r="J141" s="27">
        <f>RDG!I21</f>
        <v>6880487</v>
      </c>
      <c r="K141" s="27">
        <f>RDG!J21</f>
        <v>7863206</v>
      </c>
    </row>
    <row r="142" spans="4:11" ht="12.75">
      <c r="D142" s="4" t="s">
        <v>794</v>
      </c>
      <c r="E142" s="4">
        <v>2</v>
      </c>
      <c r="F142" s="4">
        <f>RDG!G22</f>
        <v>141</v>
      </c>
      <c r="G142" s="4">
        <f>IF(RDG!H22=0,"",RDG!H22)</f>
      </c>
      <c r="H142" s="26">
        <f t="shared" si="6"/>
        <v>13736989.860000001</v>
      </c>
      <c r="I142" s="4">
        <f t="shared" si="7"/>
        <v>0</v>
      </c>
      <c r="J142" s="27">
        <f>RDG!I22</f>
        <v>2908736</v>
      </c>
      <c r="K142" s="27">
        <f>RDG!J22</f>
        <v>3416905</v>
      </c>
    </row>
    <row r="143" spans="4:11" ht="12.75">
      <c r="D143" s="4" t="s">
        <v>794</v>
      </c>
      <c r="E143" s="4">
        <v>2</v>
      </c>
      <c r="F143" s="4">
        <f>RDG!G23</f>
        <v>142</v>
      </c>
      <c r="G143" s="4">
        <f>IF(RDG!H23=0,"",RDG!H23)</f>
      </c>
      <c r="H143" s="26">
        <f t="shared" si="6"/>
        <v>6126318.78</v>
      </c>
      <c r="I143" s="4">
        <f t="shared" si="7"/>
        <v>0</v>
      </c>
      <c r="J143" s="27">
        <f>RDG!I23</f>
        <v>1287113</v>
      </c>
      <c r="K143" s="27">
        <f>RDG!J23</f>
        <v>1513598</v>
      </c>
    </row>
    <row r="144" spans="4:11" ht="12.75">
      <c r="D144" s="4" t="s">
        <v>794</v>
      </c>
      <c r="E144" s="4">
        <v>2</v>
      </c>
      <c r="F144" s="4">
        <f>RDG!G24</f>
        <v>143</v>
      </c>
      <c r="G144" s="4">
        <f>IF(RDG!H24=0,"",RDG!H24)</f>
      </c>
      <c r="H144" s="26">
        <f t="shared" si="6"/>
        <v>2338294.5300000003</v>
      </c>
      <c r="I144" s="4">
        <f t="shared" si="7"/>
        <v>0</v>
      </c>
      <c r="J144" s="27">
        <f>RDG!I24</f>
        <v>482437</v>
      </c>
      <c r="K144" s="27">
        <f>RDG!J24</f>
        <v>576367</v>
      </c>
    </row>
    <row r="145" spans="4:11" ht="12.75">
      <c r="D145" s="4" t="s">
        <v>794</v>
      </c>
      <c r="E145" s="4">
        <v>2</v>
      </c>
      <c r="F145" s="4">
        <f>RDG!G25</f>
        <v>144</v>
      </c>
      <c r="G145" s="4">
        <f>IF(RDG!H25=0,"",RDG!H25)</f>
      </c>
      <c r="H145" s="26">
        <f t="shared" si="6"/>
        <v>10952442.719999999</v>
      </c>
      <c r="I145" s="4">
        <f t="shared" si="7"/>
        <v>0</v>
      </c>
      <c r="J145" s="27">
        <f>RDG!I25</f>
        <v>2014741</v>
      </c>
      <c r="K145" s="27">
        <f>RDG!J25</f>
        <v>2795561</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350298.45</v>
      </c>
      <c r="I156" s="4">
        <f t="shared" si="7"/>
        <v>0</v>
      </c>
      <c r="J156" s="27">
        <f>RDG!I36</f>
        <v>75127</v>
      </c>
      <c r="K156" s="27">
        <f>RDG!J36</f>
        <v>75436</v>
      </c>
    </row>
    <row r="157" spans="4:11" ht="12.75">
      <c r="D157" s="4" t="s">
        <v>794</v>
      </c>
      <c r="E157" s="4">
        <v>2</v>
      </c>
      <c r="F157" s="4">
        <f>RDG!G37</f>
        <v>156</v>
      </c>
      <c r="G157" s="4">
        <f>IF(RDG!H37=0,"",RDG!H37)</f>
      </c>
      <c r="H157" s="26">
        <f t="shared" si="6"/>
        <v>60529.56</v>
      </c>
      <c r="I157" s="4">
        <f t="shared" si="7"/>
        <v>0</v>
      </c>
      <c r="J157" s="27">
        <f>RDG!I37</f>
        <v>9519</v>
      </c>
      <c r="K157" s="27">
        <f>RDG!J37</f>
        <v>14641</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63245.63</v>
      </c>
      <c r="I164" s="4">
        <f t="shared" si="7"/>
        <v>0</v>
      </c>
      <c r="J164" s="27">
        <f>RDG!I44</f>
        <v>9519</v>
      </c>
      <c r="K164" s="27">
        <f>RDG!J44</f>
        <v>14641</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0</v>
      </c>
      <c r="I168" s="4">
        <f t="shared" si="7"/>
        <v>0</v>
      </c>
      <c r="J168" s="27">
        <f>RDG!I48</f>
        <v>0</v>
      </c>
      <c r="K168" s="27">
        <f>RDG!J48</f>
        <v>0</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0</v>
      </c>
      <c r="I171" s="4">
        <f t="shared" si="7"/>
        <v>0</v>
      </c>
      <c r="J171" s="27">
        <f>RDG!I51</f>
        <v>0</v>
      </c>
      <c r="K171" s="27">
        <f>RDG!J51</f>
        <v>0</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457365941.21000004</v>
      </c>
      <c r="I180" s="4">
        <f t="shared" si="7"/>
        <v>0</v>
      </c>
      <c r="J180" s="27">
        <f>RDG!I60</f>
        <v>77774891</v>
      </c>
      <c r="K180" s="27">
        <f>RDG!J60</f>
        <v>88868404</v>
      </c>
    </row>
    <row r="181" spans="4:11" ht="12.75">
      <c r="D181" s="4" t="s">
        <v>794</v>
      </c>
      <c r="E181" s="4">
        <v>2</v>
      </c>
      <c r="F181" s="4">
        <f>RDG!G61</f>
        <v>180</v>
      </c>
      <c r="G181" s="4">
        <f>IF(RDG!H61=0,"",RDG!H61)</f>
      </c>
      <c r="H181" s="26">
        <f t="shared" si="6"/>
        <v>446663403</v>
      </c>
      <c r="I181" s="4">
        <f t="shared" si="7"/>
        <v>0</v>
      </c>
      <c r="J181" s="27">
        <f>RDG!I61</f>
        <v>75105373</v>
      </c>
      <c r="K181" s="27">
        <f>RDG!J61</f>
        <v>86520481</v>
      </c>
    </row>
    <row r="182" spans="4:11" ht="12.75">
      <c r="D182" s="4" t="s">
        <v>794</v>
      </c>
      <c r="E182" s="4">
        <v>2</v>
      </c>
      <c r="F182" s="4">
        <f>RDG!G62</f>
        <v>181</v>
      </c>
      <c r="G182" s="4">
        <f>IF(RDG!H62=0,"",RDG!H62)</f>
      </c>
      <c r="H182" s="26">
        <f t="shared" si="6"/>
        <v>13331308.84</v>
      </c>
      <c r="I182" s="4">
        <f t="shared" si="7"/>
        <v>0</v>
      </c>
      <c r="J182" s="27">
        <f>RDG!I62</f>
        <v>2669518</v>
      </c>
      <c r="K182" s="27">
        <f>RDG!J62</f>
        <v>2347923</v>
      </c>
    </row>
    <row r="183" spans="4:11" ht="12.75">
      <c r="D183" s="4" t="s">
        <v>794</v>
      </c>
      <c r="E183" s="4">
        <v>2</v>
      </c>
      <c r="F183" s="4">
        <f>RDG!G63</f>
        <v>182</v>
      </c>
      <c r="G183" s="4">
        <f>IF(RDG!H63=0,"",RDG!H63)</f>
      </c>
      <c r="H183" s="26">
        <f t="shared" si="6"/>
        <v>13404962.48</v>
      </c>
      <c r="I183" s="4">
        <f t="shared" si="7"/>
        <v>0</v>
      </c>
      <c r="J183" s="27">
        <f>RDG!I63</f>
        <v>2669518</v>
      </c>
      <c r="K183" s="27">
        <f>RDG!J63</f>
        <v>2347923</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2482404.72</v>
      </c>
      <c r="I185" s="4">
        <f t="shared" si="7"/>
        <v>0</v>
      </c>
      <c r="J185" s="27">
        <f>RDG!I65</f>
        <v>487279</v>
      </c>
      <c r="K185" s="27">
        <f>RDG!J65</f>
        <v>430927</v>
      </c>
    </row>
    <row r="186" spans="4:11" ht="12.75">
      <c r="D186" s="4" t="s">
        <v>794</v>
      </c>
      <c r="E186" s="4">
        <v>2</v>
      </c>
      <c r="F186" s="4">
        <f>RDG!G66</f>
        <v>185</v>
      </c>
      <c r="G186" s="4">
        <f>IF(RDG!H66=0,"",RDG!H66)</f>
      </c>
      <c r="H186" s="26">
        <f t="shared" si="6"/>
        <v>11130027.35</v>
      </c>
      <c r="I186" s="4">
        <f t="shared" si="7"/>
        <v>0</v>
      </c>
      <c r="J186" s="27">
        <f>RDG!I66</f>
        <v>2182239</v>
      </c>
      <c r="K186" s="27">
        <f>RDG!J66</f>
        <v>1916996</v>
      </c>
    </row>
    <row r="187" spans="4:11" ht="12.75">
      <c r="D187" s="4" t="s">
        <v>794</v>
      </c>
      <c r="E187" s="4">
        <v>2</v>
      </c>
      <c r="F187" s="4">
        <f>RDG!G67</f>
        <v>186</v>
      </c>
      <c r="G187" s="4">
        <f>IF(RDG!H67=0,"",RDG!H67)</f>
      </c>
      <c r="H187" s="26">
        <f t="shared" si="6"/>
        <v>11190189.66</v>
      </c>
      <c r="I187" s="4">
        <f t="shared" si="7"/>
        <v>0</v>
      </c>
      <c r="J187" s="27">
        <f>RDG!I67</f>
        <v>2182239</v>
      </c>
      <c r="K187" s="27">
        <f>RDG!J67</f>
        <v>1916996</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550637427.34</v>
      </c>
      <c r="I243" s="4">
        <f t="shared" si="13"/>
        <v>0</v>
      </c>
      <c r="J243" s="27">
        <f>Dodatni!I26</f>
        <v>68690871</v>
      </c>
      <c r="K243" s="27">
        <f>Dodatni!J26</f>
        <v>79422628</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573391040.04</v>
      </c>
      <c r="I253" s="4">
        <f t="shared" si="13"/>
        <v>0</v>
      </c>
      <c r="J253" s="27">
        <f>Dodatni!I37</f>
        <v>68690871</v>
      </c>
      <c r="K253" s="27">
        <f>Dodatni!J37</f>
        <v>79422628</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2709462.52</v>
      </c>
      <c r="I263" s="4">
        <f t="shared" si="13"/>
        <v>0</v>
      </c>
      <c r="J263" s="27">
        <f>Dodatni!I50</f>
        <v>220154</v>
      </c>
      <c r="K263" s="27">
        <f>Dodatni!J50</f>
        <v>406996</v>
      </c>
    </row>
    <row r="264" spans="4:11" ht="12.75">
      <c r="D264" s="4" t="s">
        <v>555</v>
      </c>
      <c r="E264" s="4">
        <v>3</v>
      </c>
      <c r="F264" s="4">
        <f>Dodatni!H51</f>
        <v>263</v>
      </c>
      <c r="H264" s="26">
        <f t="shared" si="12"/>
        <v>304561.89</v>
      </c>
      <c r="I264" s="4">
        <f t="shared" si="13"/>
        <v>0</v>
      </c>
      <c r="J264" s="27">
        <f>Dodatni!I51</f>
        <v>42929</v>
      </c>
      <c r="K264" s="27">
        <f>Dodatni!J51</f>
        <v>36437</v>
      </c>
    </row>
    <row r="265" spans="4:11" ht="12.75">
      <c r="D265" s="4" t="s">
        <v>555</v>
      </c>
      <c r="E265" s="4">
        <v>3</v>
      </c>
      <c r="F265" s="4">
        <f>Dodatni!H52</f>
        <v>264</v>
      </c>
      <c r="H265" s="26">
        <f t="shared" si="12"/>
        <v>113467.2</v>
      </c>
      <c r="I265" s="4">
        <f t="shared" si="13"/>
        <v>0</v>
      </c>
      <c r="J265" s="27">
        <f>Dodatni!I52</f>
        <v>9708</v>
      </c>
      <c r="K265" s="27">
        <f>Dodatni!J52</f>
        <v>16636</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352181.34</v>
      </c>
      <c r="I267" s="4">
        <f t="shared" si="13"/>
        <v>0</v>
      </c>
      <c r="J267" s="27">
        <f>Dodatni!I54</f>
        <v>132399</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393760.80000000005</v>
      </c>
      <c r="I273" s="4">
        <f t="shared" si="13"/>
        <v>0</v>
      </c>
      <c r="J273" s="27">
        <f>Dodatni!I60</f>
        <v>56933</v>
      </c>
      <c r="K273" s="27">
        <f>Dodatni!J60</f>
        <v>43916</v>
      </c>
    </row>
    <row r="274" spans="4:11" ht="12.75">
      <c r="D274" s="4" t="s">
        <v>555</v>
      </c>
      <c r="E274" s="4">
        <v>3</v>
      </c>
      <c r="F274" s="4">
        <f>Dodatni!H61</f>
        <v>273</v>
      </c>
      <c r="H274" s="26">
        <f t="shared" si="12"/>
        <v>343767.06</v>
      </c>
      <c r="I274" s="4">
        <f t="shared" si="13"/>
        <v>0</v>
      </c>
      <c r="J274" s="27">
        <f>Dodatni!I61</f>
        <v>50044</v>
      </c>
      <c r="K274" s="27">
        <f>Dodatni!J61</f>
        <v>37939</v>
      </c>
    </row>
    <row r="275" spans="4:11" ht="12.75">
      <c r="D275" s="4" t="s">
        <v>555</v>
      </c>
      <c r="E275" s="4">
        <v>3</v>
      </c>
      <c r="F275" s="4">
        <f>Dodatni!H62</f>
        <v>274</v>
      </c>
      <c r="H275" s="26">
        <f t="shared" si="12"/>
        <v>3288</v>
      </c>
      <c r="I275" s="4">
        <f t="shared" si="13"/>
        <v>0</v>
      </c>
      <c r="J275" s="27">
        <f>Dodatni!I62</f>
        <v>400</v>
      </c>
      <c r="K275" s="27">
        <f>Dodatni!J62</f>
        <v>400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564577.3200000001</v>
      </c>
      <c r="I277" s="4">
        <f t="shared" si="13"/>
        <v>0</v>
      </c>
      <c r="J277" s="27">
        <f>Dodatni!I64</f>
        <v>68111</v>
      </c>
      <c r="K277" s="27">
        <f>Dodatni!J64</f>
        <v>68223</v>
      </c>
    </row>
    <row r="278" spans="4:11" ht="12.75">
      <c r="D278" s="4" t="s">
        <v>555</v>
      </c>
      <c r="E278" s="4">
        <v>3</v>
      </c>
      <c r="F278" s="4">
        <f>Dodatni!H65</f>
        <v>277</v>
      </c>
      <c r="H278" s="26">
        <f t="shared" si="12"/>
        <v>16336656.7</v>
      </c>
      <c r="I278" s="4">
        <f t="shared" si="13"/>
        <v>0</v>
      </c>
      <c r="J278" s="27">
        <f>Dodatni!I65</f>
        <v>1450726</v>
      </c>
      <c r="K278" s="27">
        <f>Dodatni!J65</f>
        <v>2223492</v>
      </c>
    </row>
    <row r="279" spans="4:11" ht="12.75">
      <c r="D279" s="4" t="s">
        <v>555</v>
      </c>
      <c r="E279" s="4">
        <v>3</v>
      </c>
      <c r="F279" s="4">
        <f>Dodatni!H66</f>
        <v>278</v>
      </c>
      <c r="H279" s="26">
        <f t="shared" si="12"/>
        <v>44480</v>
      </c>
      <c r="I279" s="4">
        <f t="shared" si="13"/>
        <v>0</v>
      </c>
      <c r="J279" s="27">
        <f>Dodatni!I66</f>
        <v>0</v>
      </c>
      <c r="K279" s="27">
        <f>Dodatni!J66</f>
        <v>8000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110194.84</v>
      </c>
      <c r="I285" s="4">
        <f aca="true" t="shared" si="15" ref="I285:I294">ABS(ROUND(J285,0)-J285)+ABS(ROUND(K285,0)-K285)</f>
        <v>0</v>
      </c>
      <c r="J285" s="27">
        <f>Dodatni!I73</f>
        <v>9519</v>
      </c>
      <c r="K285" s="27">
        <f>Dodatni!J73</f>
        <v>14641</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2487709.44</v>
      </c>
      <c r="I289" s="4">
        <f t="shared" si="15"/>
        <v>0</v>
      </c>
      <c r="J289" s="27">
        <f>Dodatni!I78</f>
        <v>626656</v>
      </c>
      <c r="K289" s="27">
        <f>Dodatni!J78</f>
        <v>118566</v>
      </c>
    </row>
    <row r="290" spans="4:11" ht="12.75">
      <c r="D290" s="4" t="s">
        <v>555</v>
      </c>
      <c r="E290" s="4">
        <v>3</v>
      </c>
      <c r="F290" s="4">
        <f>Dodatni!H79</f>
        <v>289</v>
      </c>
      <c r="H290" s="26">
        <f t="shared" si="14"/>
        <v>650007.24</v>
      </c>
      <c r="I290" s="4">
        <f t="shared" si="15"/>
        <v>0</v>
      </c>
      <c r="J290" s="27">
        <f>Dodatni!I79</f>
        <v>136484</v>
      </c>
      <c r="K290" s="27">
        <f>Dodatni!J79</f>
        <v>44216</v>
      </c>
    </row>
    <row r="291" spans="4:11" ht="12.75">
      <c r="D291" s="4" t="s">
        <v>555</v>
      </c>
      <c r="E291" s="4">
        <v>3</v>
      </c>
      <c r="F291" s="4">
        <f>Dodatni!H80</f>
        <v>290</v>
      </c>
      <c r="H291" s="26">
        <f t="shared" si="14"/>
        <v>1801378.5</v>
      </c>
      <c r="I291" s="4">
        <f t="shared" si="15"/>
        <v>0</v>
      </c>
      <c r="J291" s="27">
        <f>Dodatni!I80</f>
        <v>472465</v>
      </c>
      <c r="K291" s="27">
        <f>Dodatni!J80</f>
        <v>74350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51704.439999999995</v>
      </c>
      <c r="I293" s="4">
        <f t="shared" si="15"/>
        <v>0</v>
      </c>
      <c r="J293" s="27">
        <f>Dodatni!I82</f>
        <v>17707</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1878283.6800000002</v>
      </c>
      <c r="I295" s="4">
        <f aca="true" t="shared" si="17" ref="I295:I301">ABS(ROUND(J295,0)-J295)+ABS(ROUND(K295,0)-K295)</f>
        <v>0</v>
      </c>
      <c r="J295" s="27">
        <f>Dodatni!I84</f>
        <v>490172</v>
      </c>
      <c r="K295" s="27">
        <f>Dodatni!J84</f>
        <v>74350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07" activePane="bottomLeft" state="frozen"/>
      <selection pane="topLeft" activeCell="A2" sqref="A2"/>
      <selection pane="bottomLeft" activeCell="C2" sqref="C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LJEKARNA VARAŽDINSKE ŽUPANIJE</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3</v>
      </c>
      <c r="T3" s="206" t="s">
        <v>614</v>
      </c>
      <c r="U3" s="224">
        <f>RefStr!L21</f>
        <v>0</v>
      </c>
      <c r="V3" s="206" t="s">
        <v>2736</v>
      </c>
      <c r="W3" s="224">
        <f>RefStr!C31</f>
        <v>42000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43158005754</v>
      </c>
      <c r="V4" s="206" t="s">
        <v>2737</v>
      </c>
      <c r="W4" s="224" t="str">
        <f>RefStr!F31</f>
        <v>VARAŽDIN</v>
      </c>
      <c r="X4" s="226" t="s">
        <v>1783</v>
      </c>
      <c r="Y4" s="227" t="str">
        <f>RefStr!I68</f>
        <v>NE</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1</v>
      </c>
      <c r="T5" s="206" t="s">
        <v>1560</v>
      </c>
      <c r="U5" s="224" t="str">
        <f>RefStr!H27</f>
        <v>01731998</v>
      </c>
      <c r="V5" s="206" t="s">
        <v>2738</v>
      </c>
      <c r="W5" s="224" t="str">
        <f>RefStr!C33</f>
        <v>KOLODVORSKA 18</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070063707</v>
      </c>
      <c r="V6" s="206" t="s">
        <v>2968</v>
      </c>
      <c r="W6" s="224" t="str">
        <f>RefStr!L35</f>
        <v>042/212-955</v>
      </c>
      <c r="X6" s="206" t="s">
        <v>2926</v>
      </c>
      <c r="Y6" s="224" t="str">
        <f>RefStr!C68</f>
        <v>ADRIANA MARTINJAK</v>
      </c>
      <c r="Z6" s="206" t="s">
        <v>2952</v>
      </c>
      <c r="AA6" s="224">
        <f>RefStr!C46</f>
        <v>0</v>
      </c>
    </row>
    <row r="7" spans="1:27" ht="13.5" customHeight="1">
      <c r="A7" s="504"/>
      <c r="B7" s="505"/>
      <c r="C7" s="505"/>
      <c r="D7" s="505"/>
      <c r="E7" s="505"/>
      <c r="F7" s="505"/>
      <c r="G7" s="505"/>
      <c r="H7" s="505"/>
      <c r="I7" s="214" t="s">
        <v>211</v>
      </c>
      <c r="J7" s="216">
        <f>SUM(M12:M122)</f>
        <v>1</v>
      </c>
      <c r="N7" s="203" t="s">
        <v>795</v>
      </c>
      <c r="O7" s="206">
        <f>PK!AC1</f>
        <v>0</v>
      </c>
      <c r="P7" s="207">
        <f>PK!AC2</f>
        <v>0</v>
      </c>
      <c r="Q7" s="224">
        <f>PK!AC3</f>
        <v>0</v>
      </c>
      <c r="R7" s="206" t="s">
        <v>2969</v>
      </c>
      <c r="S7" s="224">
        <f>IF(RefStr!C44&lt;&gt;"",IF(ISERROR(INT(RefStr!C44)),0,RefStr!C44),0)</f>
        <v>10</v>
      </c>
      <c r="T7" s="206" t="s">
        <v>916</v>
      </c>
      <c r="U7" s="224">
        <f>RefStr!C7</f>
        <v>8</v>
      </c>
      <c r="V7" s="206" t="s">
        <v>2884</v>
      </c>
      <c r="W7" s="224" t="str">
        <f>TRIM(UPPER(RefStr!C35))</f>
        <v>RACUNOVODSTVO@LJEKARNA-VZZ.HR</v>
      </c>
      <c r="X7" s="206" t="s">
        <v>2927</v>
      </c>
      <c r="Y7" s="224" t="str">
        <f>RefStr!C70</f>
        <v>042/212-955</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Ustanova</v>
      </c>
      <c r="V8" s="206" t="s">
        <v>2974</v>
      </c>
      <c r="W8" s="224" t="str">
        <f>RefStr!C42</f>
        <v>4773</v>
      </c>
      <c r="X8" s="206" t="s">
        <v>2928</v>
      </c>
      <c r="Y8" s="224" t="str">
        <f>TRIM(UPPER(RefStr!C72))</f>
        <v>RACUNOVODSTVO@LJEKARNA-VZZ.HR</v>
      </c>
      <c r="Z8" s="228" t="s">
        <v>1780</v>
      </c>
      <c r="AA8" s="229" t="str">
        <f>RefStr!I56</f>
        <v>NE</v>
      </c>
    </row>
    <row r="9" spans="1:27" ht="13.5" customHeight="1">
      <c r="A9" s="497" t="s">
        <v>819</v>
      </c>
      <c r="B9" s="497"/>
      <c r="C9" s="497" t="s">
        <v>963</v>
      </c>
      <c r="D9" s="497"/>
      <c r="E9" s="497"/>
      <c r="F9" s="497"/>
      <c r="G9" s="497"/>
      <c r="H9" s="497"/>
      <c r="I9" s="497"/>
      <c r="J9" s="497"/>
      <c r="L9" s="190"/>
      <c r="M9" s="190"/>
      <c r="O9" s="222" t="s">
        <v>1464</v>
      </c>
      <c r="P9" s="204">
        <f>RefStr!C58</f>
        <v>58</v>
      </c>
      <c r="Q9" s="223">
        <f>RefStr!F58</f>
        <v>62</v>
      </c>
      <c r="R9" s="206" t="s">
        <v>914</v>
      </c>
      <c r="S9" s="224">
        <f>IF(RefStr!F4&lt;&gt;"",RefStr!F4,0)</f>
        <v>44926</v>
      </c>
      <c r="T9" s="206" t="s">
        <v>891</v>
      </c>
      <c r="U9" s="224">
        <f>RefStr!C39</f>
        <v>472</v>
      </c>
      <c r="V9" s="206" t="s">
        <v>2951</v>
      </c>
      <c r="W9" s="224" t="str">
        <f>RefStr!D42</f>
        <v>Ljekarne </v>
      </c>
      <c r="X9" s="230" t="s">
        <v>1782</v>
      </c>
      <c r="Y9" s="231" t="str">
        <f>RefStr!I66</f>
        <v>NE</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59</v>
      </c>
      <c r="Q10" s="225">
        <f>RefStr!F56</f>
        <v>62</v>
      </c>
      <c r="R10" s="208" t="s">
        <v>917</v>
      </c>
      <c r="S10" s="225">
        <f>RefStr!C23</f>
        <v>1</v>
      </c>
      <c r="T10" s="208" t="s">
        <v>2973</v>
      </c>
      <c r="U10" s="225" t="str">
        <f>RefStr!D39</f>
        <v>Varaždin</v>
      </c>
      <c r="V10" s="232"/>
      <c r="W10" s="233"/>
      <c r="X10" s="234" t="s">
        <v>2279</v>
      </c>
      <c r="Y10" s="235">
        <f>RefStr!F12</f>
        <v>2022</v>
      </c>
      <c r="Z10" s="208" t="s">
        <v>1771</v>
      </c>
      <c r="AA10" s="225" t="str">
        <f>RefStr!A75</f>
        <v>MAGIĆ MIRKO</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1"/>
      <c r="E50" s="491"/>
      <c r="F50" s="491"/>
      <c r="G50" s="491"/>
      <c r="H50" s="491"/>
      <c r="I50" s="491"/>
      <c r="J50" s="491"/>
      <c r="L50" s="190">
        <f>IF(N50&lt;&gt;S3,1,0)</f>
        <v>0</v>
      </c>
      <c r="M50" s="190"/>
      <c r="N50" s="190">
        <f>IF(P8&gt;0,O50,AC50)</f>
        <v>3</v>
      </c>
      <c r="O50" s="194">
        <f>IF(SUM(Y50:AA50)&gt;1,4,IF(SUM(U50:W50)&gt;1,3,IF(SUM(Q50:S50)&gt;1,2,IF(S6="DA",2,1))))</f>
        <v>3</v>
      </c>
      <c r="P50" s="197" t="s">
        <v>1794</v>
      </c>
      <c r="Q50" s="197">
        <f>IF(Bilanca!I73&gt;2600000,1,0)</f>
        <v>1</v>
      </c>
      <c r="R50" s="196">
        <f>IF(RDG!I60&gt;5200000,1,0)</f>
        <v>1</v>
      </c>
      <c r="S50" s="196">
        <f>IF(P10&gt;10,1,0)</f>
        <v>1</v>
      </c>
      <c r="T50" s="196" t="s">
        <v>2256</v>
      </c>
      <c r="U50" s="196">
        <f>IF(Bilanca!I73&gt;30000000,1,0)</f>
        <v>0</v>
      </c>
      <c r="V50" s="196">
        <f>IF(RDG!I60&gt;60000000,1,0)</f>
        <v>1</v>
      </c>
      <c r="W50" s="196">
        <f>IF(P10&gt;50,1,0)</f>
        <v>1</v>
      </c>
      <c r="X50" s="196" t="s">
        <v>2257</v>
      </c>
      <c r="Y50" s="196">
        <f>IF(Bilanca!I73&gt;150000000,1,0)</f>
        <v>0</v>
      </c>
      <c r="Z50" s="196">
        <f>IF(RDG!I60&gt;300000000,1,0)</f>
        <v>0</v>
      </c>
      <c r="AA50" s="196">
        <f>IF(P10&gt;250,1,0)</f>
        <v>0</v>
      </c>
      <c r="AC50" s="194">
        <f>IF(SUM(AM50:AO50)&gt;1,4,IF(SUM(AI50:AK50)&gt;1,3,IF(SUM(AE50:AG50)&gt;1,2,IF(S6="DA",2,1))))</f>
        <v>3</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1</v>
      </c>
      <c r="AK50" s="196">
        <f>IF(Q10&gt;50,1,0)</f>
        <v>1</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1</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Provjera</v>
      </c>
      <c r="C94" s="491" t="s">
        <v>784</v>
      </c>
      <c r="D94" s="491"/>
      <c r="E94" s="491"/>
      <c r="F94" s="491"/>
      <c r="G94" s="491"/>
      <c r="H94" s="491"/>
      <c r="I94" s="491"/>
      <c r="J94" s="491"/>
      <c r="L94" s="190">
        <v>0</v>
      </c>
      <c r="M94" s="190">
        <f>MAX(N94:O94)</f>
        <v>1</v>
      </c>
      <c r="N94" s="190">
        <f>IF(Dodatni!I52&gt;(Dodatni!I25+Dodatni!I29+Dodatni!I30+SUM(Dodatni!I32:I35)),1,0)</f>
        <v>1</v>
      </c>
      <c r="O94" s="190">
        <f>IF(Dodatni!J52&gt;(Dodatni!J25+Dodatni!J29+Dodatni!J30+SUM(Dodatni!J32:J35)),1,0)</f>
        <v>1</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C:\ADRIANA\obračun 12-22\[GFI-POD, Godišnji financijski izvještaj poduzetnika (2).xls]RefStr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13" activePane="bottomLeft" state="frozen"/>
      <selection pane="topLeft" activeCell="A1" sqref="A1"/>
      <selection pane="bottomLeft" activeCell="I56" sqref="I56"/>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44562</v>
      </c>
      <c r="D4" s="319"/>
      <c r="E4" s="7" t="s">
        <v>560</v>
      </c>
      <c r="F4" s="318">
        <v>44926</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8</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Ustanova</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2022</v>
      </c>
      <c r="G12" s="313"/>
      <c r="H12" s="305" t="s">
        <v>1983</v>
      </c>
      <c r="I12" s="306"/>
      <c r="J12" s="306"/>
      <c r="K12" s="152"/>
      <c r="L12" s="152"/>
      <c r="M12" s="152"/>
      <c r="N12" s="152"/>
      <c r="P12" s="50" t="s">
        <v>1561</v>
      </c>
      <c r="Q12" s="51">
        <f>INT(VALUE(H27))/10</f>
        <v>173199.8</v>
      </c>
    </row>
    <row r="13" spans="4:17" ht="9.75" customHeight="1">
      <c r="D13" s="152"/>
      <c r="E13" s="158"/>
      <c r="H13" s="23"/>
      <c r="I13" s="159"/>
      <c r="J13" s="159"/>
      <c r="K13" s="152"/>
      <c r="L13" s="152"/>
      <c r="M13" s="152"/>
      <c r="N13" s="152"/>
      <c r="P13" s="50" t="s">
        <v>1561</v>
      </c>
      <c r="Q13" s="51">
        <f>INT(VALUE(M27))/50</f>
        <v>1401274.14</v>
      </c>
    </row>
    <row r="14" spans="1:17" ht="15">
      <c r="A14" s="289" t="s">
        <v>1312</v>
      </c>
      <c r="B14" s="289"/>
      <c r="C14" s="289"/>
      <c r="D14" s="160"/>
      <c r="E14" s="161"/>
      <c r="F14" s="287"/>
      <c r="G14" s="288"/>
      <c r="H14" s="288"/>
      <c r="I14" s="152"/>
      <c r="J14" s="310" t="s">
        <v>1978</v>
      </c>
      <c r="K14" s="311"/>
      <c r="L14" s="311"/>
      <c r="M14" s="311"/>
      <c r="N14" s="311"/>
      <c r="P14" s="50" t="s">
        <v>1316</v>
      </c>
      <c r="Q14" s="51">
        <f>INT(VALUE(C27))/100</f>
        <v>431580057.54</v>
      </c>
    </row>
    <row r="15" spans="1:17" ht="19.5" customHeight="1">
      <c r="A15" s="307">
        <f>Skriveni!B59</f>
        <v>4620184072.63</v>
      </c>
      <c r="B15" s="308"/>
      <c r="C15" s="309"/>
      <c r="D15" s="56"/>
      <c r="E15" s="56"/>
      <c r="F15" s="56"/>
      <c r="G15" s="56"/>
      <c r="H15" s="56"/>
      <c r="I15" s="56"/>
      <c r="J15" s="56"/>
      <c r="K15" s="56"/>
      <c r="L15" s="56"/>
      <c r="M15" s="56"/>
      <c r="N15" s="56"/>
      <c r="P15" s="50" t="s">
        <v>887</v>
      </c>
      <c r="Q15" s="51">
        <f>LEN(Skriveni!B9)</f>
        <v>29</v>
      </c>
    </row>
    <row r="16" spans="4:17" ht="12.75" customHeight="1">
      <c r="D16" s="56"/>
      <c r="E16" s="56"/>
      <c r="F16" s="56"/>
      <c r="G16" s="56"/>
      <c r="H16" s="56"/>
      <c r="I16" s="56"/>
      <c r="P16" s="50" t="s">
        <v>888</v>
      </c>
      <c r="Q16" s="51">
        <f>INT(VALUE(C31))/100</f>
        <v>420</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8</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1</v>
      </c>
      <c r="D19" s="292" t="str">
        <f>IF(C19="","Upišite svrhu predaje",IF(ISNA(LOOKUP(C19,A118:A120,A118:A120)),"Nepostojeća ili neprepoznatljiva svrha predaje",IF(LOOKUP(C19,A118:A120,A118:A120)&lt;&gt;C19,"Nepostojeća ili neprepoznatljiva svrha predaje",LOOKUP(C19,A118:A120,B118:B120))))</f>
        <v>Predaja samo u statističke svrhe</v>
      </c>
      <c r="E19" s="293"/>
      <c r="F19" s="293"/>
      <c r="G19" s="293"/>
      <c r="H19" s="293"/>
      <c r="I19" s="296" t="s">
        <v>198</v>
      </c>
      <c r="J19" s="291"/>
      <c r="K19" s="291"/>
      <c r="L19" s="291"/>
      <c r="M19" s="291"/>
      <c r="N19" s="32" t="s">
        <v>2992</v>
      </c>
      <c r="P19" s="50" t="s">
        <v>890</v>
      </c>
      <c r="Q19" s="51">
        <f>LEN(Skriveni!B12)</f>
        <v>14</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472</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4773</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2982</v>
      </c>
      <c r="D27" s="374"/>
      <c r="E27" s="284"/>
      <c r="F27" s="370" t="s">
        <v>2787</v>
      </c>
      <c r="G27" s="373"/>
      <c r="H27" s="282" t="s">
        <v>2983</v>
      </c>
      <c r="I27" s="372"/>
      <c r="J27" s="370" t="s">
        <v>1977</v>
      </c>
      <c r="K27" s="281"/>
      <c r="L27" s="280"/>
      <c r="M27" s="282" t="s">
        <v>2984</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2985</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42000</v>
      </c>
      <c r="D31" s="343" t="s">
        <v>929</v>
      </c>
      <c r="E31" s="344"/>
      <c r="F31" s="345" t="s">
        <v>2986</v>
      </c>
      <c r="G31" s="346"/>
      <c r="H31" s="346"/>
      <c r="I31" s="346"/>
      <c r="J31" s="346"/>
      <c r="K31" s="346"/>
      <c r="L31" s="347"/>
      <c r="N31" s="56"/>
      <c r="P31" s="50" t="s">
        <v>1283</v>
      </c>
      <c r="Q31" s="51">
        <f>INT(VALUE(C19))</f>
        <v>1</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2987</v>
      </c>
      <c r="D33" s="348"/>
      <c r="E33" s="348"/>
      <c r="F33" s="348"/>
      <c r="G33" s="348"/>
      <c r="H33" s="348"/>
      <c r="I33" s="348"/>
      <c r="J33" s="348"/>
      <c r="K33" s="348"/>
      <c r="L33" s="349"/>
      <c r="M33" s="56"/>
      <c r="N33" s="56"/>
      <c r="P33" s="50" t="s">
        <v>894</v>
      </c>
      <c r="Q33" s="51">
        <f>INT(VALUE(Skriveni!B21))</f>
        <v>2</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2988</v>
      </c>
      <c r="D35" s="277"/>
      <c r="E35" s="277"/>
      <c r="F35" s="277"/>
      <c r="G35" s="277"/>
      <c r="H35" s="277"/>
      <c r="I35" s="278"/>
      <c r="J35" s="275" t="s">
        <v>1750</v>
      </c>
      <c r="K35" s="296"/>
      <c r="L35" s="282" t="s">
        <v>2989</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472</v>
      </c>
      <c r="D39" s="358" t="str">
        <f>IF(C39="","Upišite šifru grada/općine",IF(ISNA(LOOKUP(C39,A177:A732,A177:A732)),"Šifra grada/općine ne postoji",IF(LOOKUP(C39,A177:A732,A177:A732)&lt;&gt;C39,"Šifra grada/općine ne postoji",LOOKUP(C39,A177:A732,B177:B732))))</f>
        <v>Varaždin</v>
      </c>
      <c r="E39" s="359"/>
      <c r="F39" s="359"/>
      <c r="G39" s="359"/>
      <c r="H39" s="279" t="s">
        <v>2109</v>
      </c>
      <c r="I39" s="280"/>
      <c r="J39" s="54">
        <f>IF(C39&gt;0,LOOKUP(C39,A177:A732,C177:C732),"")</f>
        <v>5</v>
      </c>
      <c r="K39" s="350" t="str">
        <f>IF(J39="","Upišite šifru grada/općine",LOOKUP(J39,A153:A173,B153:B173))</f>
        <v>VARAŽDINSKA</v>
      </c>
      <c r="L39" s="350"/>
      <c r="M39" s="350"/>
      <c r="N39" s="350"/>
      <c r="P39" s="50" t="s">
        <v>896</v>
      </c>
      <c r="Q39" s="51">
        <f>C56+2*F56+3*C58+4*F58</f>
        <v>605</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429</v>
      </c>
      <c r="D42" s="356" t="str">
        <f>IF(C42="","Upišite šifru razreda glavne djelatnosti",IF(ISNA(LOOKUP(C42,A736:A1351,A736:A1351)),"Šifra NKD-a ne postoji",IF(LOOKUP(C42,A736:A1351,A736:A1351)&lt;&gt;C42,"Šifra NKD-a ne postoji",LOOKUP(C42,A736:A1351,B736:B1351))))</f>
        <v>Ljekarne </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10</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Ostali obveznici poreza na dobit</v>
      </c>
      <c r="E44" s="381"/>
      <c r="F44" s="381"/>
      <c r="G44" s="381"/>
      <c r="H44" s="381"/>
      <c r="I44" s="381"/>
      <c r="J44" s="381"/>
      <c r="K44" s="381"/>
      <c r="L44" s="381"/>
      <c r="M44" s="381"/>
      <c r="N44" s="381"/>
      <c r="P44" s="50" t="s">
        <v>1299</v>
      </c>
      <c r="Q44" s="51">
        <f>LEN(Skriveni!B43)</f>
        <v>11</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3</v>
      </c>
      <c r="D50" s="379" t="str">
        <f>IF(C50="","Upišite oznaku veličine",IF(ISNA(LOOKUP(C50,A124:A127,A124:A127)),"Nepostojeća oznaka veličine",IF(LOOKUP(C50,A124:A127,A124:A127)&lt;&gt;C50,"Nepostojeća oznaka veličine",LOOKUP(C50,A124:A127,B124:B127))))</f>
        <v>Srednji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DA</v>
      </c>
      <c r="J54" s="363" t="s">
        <v>820</v>
      </c>
      <c r="K54" s="339"/>
      <c r="L54" s="339"/>
      <c r="M54" s="339"/>
      <c r="N54" s="339"/>
      <c r="O54" s="182"/>
      <c r="P54" s="50" t="s">
        <v>2969</v>
      </c>
      <c r="Q54" s="50">
        <f>C44/10</f>
        <v>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59</v>
      </c>
      <c r="D56" s="272" t="s">
        <v>2653</v>
      </c>
      <c r="E56" s="362"/>
      <c r="F56" s="40">
        <v>62</v>
      </c>
      <c r="G56" s="272" t="s">
        <v>2654</v>
      </c>
      <c r="H56" s="273"/>
      <c r="I56" s="218" t="s">
        <v>1237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58</v>
      </c>
      <c r="D58" s="354" t="s">
        <v>2653</v>
      </c>
      <c r="E58" s="354"/>
      <c r="F58" s="40">
        <v>62</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1237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2990</v>
      </c>
      <c r="D68" s="298"/>
      <c r="E68" s="298"/>
      <c r="F68" s="298"/>
      <c r="G68" s="299"/>
      <c r="H68" s="187"/>
      <c r="I68" s="218" t="s">
        <v>1237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2989</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2988</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2991</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5" ht="12.75" hidden="1"/>
    <row r="116" ht="12.75" hidden="1"/>
    <row r="117" ht="12.75" hidden="1"/>
    <row r="118" spans="1:2" ht="12.75" hidden="1">
      <c r="A118" s="24">
        <v>1</v>
      </c>
      <c r="B118" s="24" t="s">
        <v>263</v>
      </c>
    </row>
    <row r="119" spans="1:2" ht="12.75" hidden="1">
      <c r="A119" s="24">
        <v>2</v>
      </c>
      <c r="B119" s="24" t="s">
        <v>264</v>
      </c>
    </row>
    <row r="120" spans="1:2" ht="12.75" hidden="1">
      <c r="A120" s="24">
        <v>3</v>
      </c>
      <c r="B120" s="24" t="s">
        <v>265</v>
      </c>
    </row>
    <row r="121" ht="12.75" hidden="1"/>
    <row r="122" ht="12.75" hidden="1"/>
    <row r="123" ht="12.75" hidden="1"/>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28" ht="12.75" hidden="1"/>
    <row r="129" ht="12.75" hidden="1"/>
    <row r="130" ht="12.75" hidden="1"/>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39" ht="12.75" hidden="1"/>
    <row r="140" ht="12.75" hidden="1"/>
    <row r="141" ht="12.75" hidden="1"/>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0" ht="12.75" hidden="1"/>
    <row r="151" ht="12.75" hidden="1"/>
    <row r="152" ht="12.75" hidden="1"/>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4" ht="12.75" hidden="1"/>
    <row r="175" ht="12.75" hidden="1"/>
    <row r="176" ht="12.75" hidden="1"/>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3" ht="12.75" hidden="1"/>
    <row r="734" ht="12.75" hidden="1"/>
    <row r="735" ht="12.75" hidden="1"/>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2" ht="12.75" hidden="1"/>
    <row r="1353" ht="12.75" hidden="1"/>
    <row r="1354" ht="12.75" hidden="1"/>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94" activePane="bottomLeft" state="frozen"/>
      <selection pane="topLeft" activeCell="A1" sqref="A1"/>
      <selection pane="bottomLeft" activeCell="J1" sqref="J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43158005754; LJEKARNA VARAŽDINSKE ŽUPANIJE</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4337922</v>
      </c>
      <c r="J10" s="66">
        <f>J11+J18+J28+J39+J44</f>
        <v>3876941</v>
      </c>
    </row>
    <row r="11" spans="1:10" ht="13.5" customHeight="1">
      <c r="A11" s="390" t="s">
        <v>904</v>
      </c>
      <c r="B11" s="390"/>
      <c r="C11" s="390"/>
      <c r="D11" s="390"/>
      <c r="E11" s="390"/>
      <c r="F11" s="390"/>
      <c r="G11" s="15">
        <v>3</v>
      </c>
      <c r="H11" s="16"/>
      <c r="I11" s="66">
        <f>SUM(I12:I17)</f>
        <v>0</v>
      </c>
      <c r="J11" s="66">
        <f>SUM(J12:J17)</f>
        <v>0</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c r="J13" s="67"/>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c r="I18" s="66">
        <f>SUM(I19:I27)</f>
        <v>4281821</v>
      </c>
      <c r="J18" s="66">
        <f>SUM(J19:J27)</f>
        <v>3824019</v>
      </c>
    </row>
    <row r="19" spans="1:10" ht="13.5" customHeight="1">
      <c r="A19" s="387" t="s">
        <v>733</v>
      </c>
      <c r="B19" s="387"/>
      <c r="C19" s="387"/>
      <c r="D19" s="387"/>
      <c r="E19" s="387"/>
      <c r="F19" s="387"/>
      <c r="G19" s="15">
        <v>11</v>
      </c>
      <c r="H19" s="16"/>
      <c r="I19" s="67">
        <v>960</v>
      </c>
      <c r="J19" s="67">
        <v>960</v>
      </c>
    </row>
    <row r="20" spans="1:10" ht="13.5" customHeight="1">
      <c r="A20" s="387" t="s">
        <v>796</v>
      </c>
      <c r="B20" s="387"/>
      <c r="C20" s="387"/>
      <c r="D20" s="387"/>
      <c r="E20" s="387"/>
      <c r="F20" s="387"/>
      <c r="G20" s="15">
        <v>12</v>
      </c>
      <c r="H20" s="16"/>
      <c r="I20" s="67">
        <v>2258284</v>
      </c>
      <c r="J20" s="67">
        <v>2135898</v>
      </c>
    </row>
    <row r="21" spans="1:10" ht="13.5" customHeight="1">
      <c r="A21" s="387" t="s">
        <v>734</v>
      </c>
      <c r="B21" s="387"/>
      <c r="C21" s="387"/>
      <c r="D21" s="387"/>
      <c r="E21" s="387"/>
      <c r="F21" s="387"/>
      <c r="G21" s="15">
        <v>13</v>
      </c>
      <c r="H21" s="16"/>
      <c r="I21" s="67">
        <v>2022577</v>
      </c>
      <c r="J21" s="67">
        <v>1687161</v>
      </c>
    </row>
    <row r="22" spans="1:10" ht="13.5" customHeight="1">
      <c r="A22" s="387" t="s">
        <v>405</v>
      </c>
      <c r="B22" s="387"/>
      <c r="C22" s="387"/>
      <c r="D22" s="387"/>
      <c r="E22" s="387"/>
      <c r="F22" s="387"/>
      <c r="G22" s="15">
        <v>14</v>
      </c>
      <c r="H22" s="16"/>
      <c r="I22" s="67"/>
      <c r="J22" s="67"/>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c r="J25" s="67"/>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56101</v>
      </c>
      <c r="J28" s="66">
        <f>SUM(J29:J38)</f>
        <v>52922</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v>56101</v>
      </c>
      <c r="J38" s="67">
        <v>52922</v>
      </c>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24803628</v>
      </c>
      <c r="J45" s="66">
        <f>J46+J54+J61+J71</f>
        <v>26125882</v>
      </c>
    </row>
    <row r="46" spans="1:10" ht="13.5" customHeight="1">
      <c r="A46" s="390" t="s">
        <v>1264</v>
      </c>
      <c r="B46" s="390"/>
      <c r="C46" s="390"/>
      <c r="D46" s="390"/>
      <c r="E46" s="390"/>
      <c r="F46" s="390"/>
      <c r="G46" s="15">
        <v>38</v>
      </c>
      <c r="H46" s="16"/>
      <c r="I46" s="66">
        <f>SUM(I47:I53)</f>
        <v>7508658</v>
      </c>
      <c r="J46" s="66">
        <f>SUM(J47:J53)</f>
        <v>7677274</v>
      </c>
    </row>
    <row r="47" spans="1:10" ht="13.5" customHeight="1">
      <c r="A47" s="387" t="s">
        <v>1892</v>
      </c>
      <c r="B47" s="387"/>
      <c r="C47" s="387"/>
      <c r="D47" s="387"/>
      <c r="E47" s="387"/>
      <c r="F47" s="387"/>
      <c r="G47" s="15">
        <v>39</v>
      </c>
      <c r="H47" s="16"/>
      <c r="I47" s="67">
        <v>91267</v>
      </c>
      <c r="J47" s="67">
        <v>80544</v>
      </c>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v>7417391</v>
      </c>
      <c r="J50" s="67">
        <v>7596730</v>
      </c>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16068506</v>
      </c>
      <c r="J54" s="66">
        <f>SUM(J55:J60)</f>
        <v>16982985</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15634177</v>
      </c>
      <c r="J57" s="67">
        <v>16516148</v>
      </c>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c r="I59" s="67">
        <v>381654</v>
      </c>
      <c r="J59" s="67">
        <v>414162</v>
      </c>
    </row>
    <row r="60" spans="1:10" ht="13.5" customHeight="1">
      <c r="A60" s="387" t="s">
        <v>1255</v>
      </c>
      <c r="B60" s="387"/>
      <c r="C60" s="387"/>
      <c r="D60" s="387"/>
      <c r="E60" s="387"/>
      <c r="F60" s="387"/>
      <c r="G60" s="15">
        <v>52</v>
      </c>
      <c r="H60" s="16"/>
      <c r="I60" s="67">
        <v>52675</v>
      </c>
      <c r="J60" s="67">
        <v>52675</v>
      </c>
    </row>
    <row r="61" spans="1:10" ht="13.5" customHeight="1">
      <c r="A61" s="390" t="s">
        <v>1266</v>
      </c>
      <c r="B61" s="390"/>
      <c r="C61" s="390"/>
      <c r="D61" s="390"/>
      <c r="E61" s="390"/>
      <c r="F61" s="390"/>
      <c r="G61" s="15">
        <v>53</v>
      </c>
      <c r="H61" s="16"/>
      <c r="I61" s="66">
        <f>SUM(I62:I70)</f>
        <v>189821</v>
      </c>
      <c r="J61" s="66">
        <f>SUM(J62:J70)</f>
        <v>222606</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v>189821</v>
      </c>
      <c r="J70" s="67">
        <v>222606</v>
      </c>
    </row>
    <row r="71" spans="1:10" ht="13.5" customHeight="1">
      <c r="A71" s="390" t="s">
        <v>2776</v>
      </c>
      <c r="B71" s="390"/>
      <c r="C71" s="390"/>
      <c r="D71" s="390"/>
      <c r="E71" s="390"/>
      <c r="F71" s="390"/>
      <c r="G71" s="15">
        <v>63</v>
      </c>
      <c r="H71" s="16"/>
      <c r="I71" s="67">
        <v>1036643</v>
      </c>
      <c r="J71" s="67">
        <v>1243017</v>
      </c>
    </row>
    <row r="72" spans="1:10" ht="24.75" customHeight="1">
      <c r="A72" s="385" t="s">
        <v>591</v>
      </c>
      <c r="B72" s="385"/>
      <c r="C72" s="385"/>
      <c r="D72" s="385"/>
      <c r="E72" s="385"/>
      <c r="F72" s="385"/>
      <c r="G72" s="15">
        <v>64</v>
      </c>
      <c r="H72" s="16"/>
      <c r="I72" s="67">
        <v>5133</v>
      </c>
      <c r="J72" s="67">
        <v>2757</v>
      </c>
    </row>
    <row r="73" spans="1:10" ht="13.5" customHeight="1">
      <c r="A73" s="385" t="s">
        <v>1267</v>
      </c>
      <c r="B73" s="385"/>
      <c r="C73" s="385"/>
      <c r="D73" s="385"/>
      <c r="E73" s="385"/>
      <c r="F73" s="385"/>
      <c r="G73" s="15">
        <v>65</v>
      </c>
      <c r="H73" s="16"/>
      <c r="I73" s="66">
        <f>I9+I10+I45+I72</f>
        <v>29146683</v>
      </c>
      <c r="J73" s="66">
        <f>J9+J10+J45+J72</f>
        <v>30005580</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18438849</v>
      </c>
      <c r="J76" s="66">
        <f>J77+J78+J79+J85+J86+J92+J95+J98</f>
        <v>19264725</v>
      </c>
      <c r="L76" s="2" t="s">
        <v>1209</v>
      </c>
    </row>
    <row r="77" spans="1:10" ht="13.5" customHeight="1">
      <c r="A77" s="390" t="s">
        <v>1857</v>
      </c>
      <c r="B77" s="390"/>
      <c r="C77" s="390"/>
      <c r="D77" s="390"/>
      <c r="E77" s="390"/>
      <c r="F77" s="390"/>
      <c r="G77" s="15">
        <v>68</v>
      </c>
      <c r="H77" s="16"/>
      <c r="I77" s="67">
        <v>14868741</v>
      </c>
      <c r="J77" s="67">
        <v>14868741</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1387869</v>
      </c>
      <c r="J92" s="66">
        <f>J93-J94</f>
        <v>2478988</v>
      </c>
      <c r="L92" s="2" t="s">
        <v>1209</v>
      </c>
    </row>
    <row r="93" spans="1:10" ht="13.5" customHeight="1">
      <c r="A93" s="387" t="s">
        <v>2830</v>
      </c>
      <c r="B93" s="387"/>
      <c r="C93" s="387"/>
      <c r="D93" s="387"/>
      <c r="E93" s="387"/>
      <c r="F93" s="387"/>
      <c r="G93" s="15">
        <v>84</v>
      </c>
      <c r="H93" s="16"/>
      <c r="I93" s="67">
        <v>1387869</v>
      </c>
      <c r="J93" s="67">
        <v>2478988</v>
      </c>
    </row>
    <row r="94" spans="1:10" ht="13.5" customHeight="1">
      <c r="A94" s="387" t="s">
        <v>2831</v>
      </c>
      <c r="B94" s="387"/>
      <c r="C94" s="387"/>
      <c r="D94" s="387"/>
      <c r="E94" s="387"/>
      <c r="F94" s="387"/>
      <c r="G94" s="15">
        <v>85</v>
      </c>
      <c r="H94" s="16"/>
      <c r="I94" s="67"/>
      <c r="J94" s="67"/>
    </row>
    <row r="95" spans="1:12" ht="13.5" customHeight="1">
      <c r="A95" s="390" t="s">
        <v>2487</v>
      </c>
      <c r="B95" s="390"/>
      <c r="C95" s="390"/>
      <c r="D95" s="390"/>
      <c r="E95" s="390"/>
      <c r="F95" s="390"/>
      <c r="G95" s="15">
        <v>86</v>
      </c>
      <c r="H95" s="16"/>
      <c r="I95" s="66">
        <f>I96-I97</f>
        <v>2182239</v>
      </c>
      <c r="J95" s="66">
        <f>J96-J97</f>
        <v>1916996</v>
      </c>
      <c r="L95" s="2" t="s">
        <v>1209</v>
      </c>
    </row>
    <row r="96" spans="1:10" ht="13.5" customHeight="1">
      <c r="A96" s="387" t="s">
        <v>1257</v>
      </c>
      <c r="B96" s="387"/>
      <c r="C96" s="387"/>
      <c r="D96" s="387"/>
      <c r="E96" s="387"/>
      <c r="F96" s="387"/>
      <c r="G96" s="15">
        <v>87</v>
      </c>
      <c r="H96" s="16"/>
      <c r="I96" s="67">
        <v>2182239</v>
      </c>
      <c r="J96" s="67">
        <v>1916996</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34058</v>
      </c>
      <c r="J106" s="66">
        <f>SUM(J107:J117)</f>
        <v>31991</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c r="J112" s="67"/>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v>34058</v>
      </c>
      <c r="J116" s="67">
        <v>31991</v>
      </c>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9540851</v>
      </c>
      <c r="J118" s="66">
        <f>SUM(J119:J132)</f>
        <v>9578540</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c r="J124" s="67"/>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c r="I126" s="67">
        <v>7799988</v>
      </c>
      <c r="J126" s="67">
        <v>7435654</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656921</v>
      </c>
      <c r="J128" s="67">
        <v>993962</v>
      </c>
    </row>
    <row r="129" spans="1:10" ht="13.5" customHeight="1">
      <c r="A129" s="387" t="s">
        <v>2023</v>
      </c>
      <c r="B129" s="387"/>
      <c r="C129" s="387"/>
      <c r="D129" s="387"/>
      <c r="E129" s="387"/>
      <c r="F129" s="387"/>
      <c r="G129" s="15">
        <v>120</v>
      </c>
      <c r="H129" s="16"/>
      <c r="I129" s="67">
        <v>1073436</v>
      </c>
      <c r="J129" s="67">
        <v>1136078</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10506</v>
      </c>
      <c r="J132" s="67">
        <v>12846</v>
      </c>
    </row>
    <row r="133" spans="1:10" ht="24.75" customHeight="1">
      <c r="A133" s="385" t="s">
        <v>593</v>
      </c>
      <c r="B133" s="385"/>
      <c r="C133" s="385"/>
      <c r="D133" s="385"/>
      <c r="E133" s="385"/>
      <c r="F133" s="385"/>
      <c r="G133" s="15">
        <v>124</v>
      </c>
      <c r="H133" s="16"/>
      <c r="I133" s="67">
        <v>1132925</v>
      </c>
      <c r="J133" s="67">
        <v>1130324</v>
      </c>
    </row>
    <row r="134" spans="1:10" ht="13.5" customHeight="1">
      <c r="A134" s="385" t="s">
        <v>360</v>
      </c>
      <c r="B134" s="385"/>
      <c r="C134" s="385"/>
      <c r="D134" s="385"/>
      <c r="E134" s="385"/>
      <c r="F134" s="385"/>
      <c r="G134" s="15">
        <v>125</v>
      </c>
      <c r="H134" s="16"/>
      <c r="I134" s="66">
        <f>I76+I99+I106+I118+I133</f>
        <v>29146683</v>
      </c>
      <c r="J134" s="66">
        <f>J76+J99+J106+J118+J133</f>
        <v>30005580</v>
      </c>
    </row>
    <row r="135" spans="1:10" ht="13.5" customHeight="1">
      <c r="A135" s="386" t="s">
        <v>1512</v>
      </c>
      <c r="B135" s="386"/>
      <c r="C135" s="386"/>
      <c r="D135" s="386"/>
      <c r="E135" s="386"/>
      <c r="F135" s="386"/>
      <c r="G135" s="17">
        <v>126</v>
      </c>
      <c r="H135" s="18"/>
      <c r="I135" s="68"/>
      <c r="J135" s="68"/>
    </row>
    <row r="136" ht="4.5" customHeight="1"/>
    <row r="137" ht="12" hidden="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17" activePane="bottomLeft" state="frozen"/>
      <selection pane="topLeft" activeCell="A1" sqref="A1"/>
      <selection pane="bottomLeft" activeCell="J1" sqref="J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43158005754; LJEKARNA VARAŽDINSKE ŽUPANIJE</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77765372</v>
      </c>
      <c r="J8" s="80">
        <f>SUM(J9:J13)</f>
        <v>88853763</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68690871</v>
      </c>
      <c r="J10" s="67">
        <v>79422628</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9074501</v>
      </c>
      <c r="J13" s="67">
        <v>9431135</v>
      </c>
    </row>
    <row r="14" spans="1:10" s="2" customFormat="1" ht="14.25" customHeight="1">
      <c r="A14" s="385" t="s">
        <v>2492</v>
      </c>
      <c r="B14" s="385"/>
      <c r="C14" s="385"/>
      <c r="D14" s="385"/>
      <c r="E14" s="385"/>
      <c r="F14" s="385"/>
      <c r="G14" s="15">
        <v>133</v>
      </c>
      <c r="H14" s="16"/>
      <c r="I14" s="66">
        <f>I15+I16+I20+I24+I25+I26+I29+I36</f>
        <v>75105373</v>
      </c>
      <c r="J14" s="66">
        <f>J15+J16+J20+J24+J25+J26+J29+J36</f>
        <v>86520481</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61456732</v>
      </c>
      <c r="J16" s="66">
        <f>SUM(J17:J19)</f>
        <v>70279408</v>
      </c>
    </row>
    <row r="17" spans="1:10" s="2" customFormat="1" ht="14.25" customHeight="1">
      <c r="A17" s="413" t="s">
        <v>1273</v>
      </c>
      <c r="B17" s="413"/>
      <c r="C17" s="413"/>
      <c r="D17" s="413"/>
      <c r="E17" s="413"/>
      <c r="F17" s="413"/>
      <c r="G17" s="15">
        <v>136</v>
      </c>
      <c r="H17" s="16"/>
      <c r="I17" s="67">
        <v>470843</v>
      </c>
      <c r="J17" s="67">
        <v>682448</v>
      </c>
    </row>
    <row r="18" spans="1:10" s="2" customFormat="1" ht="14.25" customHeight="1">
      <c r="A18" s="413" t="s">
        <v>1274</v>
      </c>
      <c r="B18" s="413"/>
      <c r="C18" s="413"/>
      <c r="D18" s="413"/>
      <c r="E18" s="413"/>
      <c r="F18" s="413"/>
      <c r="G18" s="15">
        <v>137</v>
      </c>
      <c r="H18" s="16"/>
      <c r="I18" s="67">
        <v>59112367</v>
      </c>
      <c r="J18" s="67">
        <v>67894206</v>
      </c>
    </row>
    <row r="19" spans="1:10" s="2" customFormat="1" ht="14.25" customHeight="1">
      <c r="A19" s="413" t="s">
        <v>2959</v>
      </c>
      <c r="B19" s="413"/>
      <c r="C19" s="413"/>
      <c r="D19" s="413"/>
      <c r="E19" s="413"/>
      <c r="F19" s="413"/>
      <c r="G19" s="15">
        <v>138</v>
      </c>
      <c r="H19" s="16"/>
      <c r="I19" s="67">
        <v>1873522</v>
      </c>
      <c r="J19" s="67">
        <v>1702754</v>
      </c>
    </row>
    <row r="20" spans="1:10" s="2" customFormat="1" ht="14.25" customHeight="1">
      <c r="A20" s="387" t="s">
        <v>2494</v>
      </c>
      <c r="B20" s="387"/>
      <c r="C20" s="387"/>
      <c r="D20" s="387"/>
      <c r="E20" s="387"/>
      <c r="F20" s="387"/>
      <c r="G20" s="15">
        <v>139</v>
      </c>
      <c r="H20" s="16"/>
      <c r="I20" s="66">
        <f>SUM(I21:I23)</f>
        <v>11076336</v>
      </c>
      <c r="J20" s="66">
        <f>SUM(J21:J23)</f>
        <v>12793709</v>
      </c>
    </row>
    <row r="21" spans="1:10" s="2" customFormat="1" ht="14.25" customHeight="1">
      <c r="A21" s="413" t="s">
        <v>960</v>
      </c>
      <c r="B21" s="413"/>
      <c r="C21" s="413"/>
      <c r="D21" s="413"/>
      <c r="E21" s="413"/>
      <c r="F21" s="413"/>
      <c r="G21" s="15">
        <v>140</v>
      </c>
      <c r="H21" s="16"/>
      <c r="I21" s="67">
        <v>6880487</v>
      </c>
      <c r="J21" s="67">
        <v>7863206</v>
      </c>
    </row>
    <row r="22" spans="1:10" s="2" customFormat="1" ht="14.25" customHeight="1">
      <c r="A22" s="413" t="s">
        <v>1883</v>
      </c>
      <c r="B22" s="413"/>
      <c r="C22" s="413"/>
      <c r="D22" s="413"/>
      <c r="E22" s="413"/>
      <c r="F22" s="413"/>
      <c r="G22" s="15">
        <v>141</v>
      </c>
      <c r="H22" s="16"/>
      <c r="I22" s="67">
        <v>2908736</v>
      </c>
      <c r="J22" s="67">
        <v>3416905</v>
      </c>
    </row>
    <row r="23" spans="1:10" s="2" customFormat="1" ht="14.25" customHeight="1">
      <c r="A23" s="413" t="s">
        <v>1884</v>
      </c>
      <c r="B23" s="413"/>
      <c r="C23" s="413"/>
      <c r="D23" s="413"/>
      <c r="E23" s="413"/>
      <c r="F23" s="413"/>
      <c r="G23" s="15">
        <v>142</v>
      </c>
      <c r="H23" s="16"/>
      <c r="I23" s="67">
        <v>1287113</v>
      </c>
      <c r="J23" s="67">
        <v>1513598</v>
      </c>
    </row>
    <row r="24" spans="1:10" s="2" customFormat="1" ht="14.25" customHeight="1">
      <c r="A24" s="387" t="s">
        <v>1006</v>
      </c>
      <c r="B24" s="387"/>
      <c r="C24" s="387"/>
      <c r="D24" s="387"/>
      <c r="E24" s="387"/>
      <c r="F24" s="387"/>
      <c r="G24" s="15">
        <v>143</v>
      </c>
      <c r="H24" s="16"/>
      <c r="I24" s="67">
        <v>482437</v>
      </c>
      <c r="J24" s="67">
        <v>576367</v>
      </c>
    </row>
    <row r="25" spans="1:10" s="2" customFormat="1" ht="14.25" customHeight="1">
      <c r="A25" s="387" t="s">
        <v>1007</v>
      </c>
      <c r="B25" s="387"/>
      <c r="C25" s="387"/>
      <c r="D25" s="387"/>
      <c r="E25" s="387"/>
      <c r="F25" s="387"/>
      <c r="G25" s="15">
        <v>144</v>
      </c>
      <c r="H25" s="16"/>
      <c r="I25" s="67">
        <v>2014741</v>
      </c>
      <c r="J25" s="67">
        <v>2795561</v>
      </c>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c r="J28" s="67"/>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v>75127</v>
      </c>
      <c r="J36" s="67">
        <v>75436</v>
      </c>
    </row>
    <row r="37" spans="1:10" s="2" customFormat="1" ht="14.25" customHeight="1">
      <c r="A37" s="385" t="s">
        <v>2497</v>
      </c>
      <c r="B37" s="385"/>
      <c r="C37" s="385"/>
      <c r="D37" s="385"/>
      <c r="E37" s="385"/>
      <c r="F37" s="385"/>
      <c r="G37" s="15">
        <v>156</v>
      </c>
      <c r="H37" s="16"/>
      <c r="I37" s="66">
        <f>SUM(I38:I47)</f>
        <v>9519</v>
      </c>
      <c r="J37" s="66">
        <f>SUM(J38:J47)</f>
        <v>14641</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9519</v>
      </c>
      <c r="J44" s="67">
        <v>14641</v>
      </c>
    </row>
    <row r="45" spans="1:10" s="2" customFormat="1" ht="14.25" customHeight="1">
      <c r="A45" s="387" t="s">
        <v>2961</v>
      </c>
      <c r="B45" s="387"/>
      <c r="C45" s="387"/>
      <c r="D45" s="387"/>
      <c r="E45" s="387"/>
      <c r="F45" s="387"/>
      <c r="G45" s="15">
        <v>164</v>
      </c>
      <c r="H45" s="16"/>
      <c r="I45" s="67"/>
      <c r="J45" s="67"/>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0</v>
      </c>
      <c r="J48" s="66">
        <f>SUM(J49:J55)</f>
        <v>0</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c r="J51" s="67"/>
    </row>
    <row r="52" spans="1:10" s="2" customFormat="1" ht="14.25" customHeight="1">
      <c r="A52" s="408" t="s">
        <v>1090</v>
      </c>
      <c r="B52" s="408"/>
      <c r="C52" s="408"/>
      <c r="D52" s="408"/>
      <c r="E52" s="408"/>
      <c r="F52" s="408"/>
      <c r="G52" s="15">
        <v>171</v>
      </c>
      <c r="H52" s="16"/>
      <c r="I52" s="67"/>
      <c r="J52" s="67"/>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77774891</v>
      </c>
      <c r="J60" s="66">
        <f>J8+J37+J56+J57</f>
        <v>88868404</v>
      </c>
    </row>
    <row r="61" spans="1:10" s="2" customFormat="1" ht="14.25" customHeight="1">
      <c r="A61" s="385" t="s">
        <v>2500</v>
      </c>
      <c r="B61" s="385"/>
      <c r="C61" s="385"/>
      <c r="D61" s="385"/>
      <c r="E61" s="385"/>
      <c r="F61" s="385"/>
      <c r="G61" s="15">
        <v>180</v>
      </c>
      <c r="H61" s="16"/>
      <c r="I61" s="66">
        <f>I14+I48+I58+I59</f>
        <v>75105373</v>
      </c>
      <c r="J61" s="66">
        <f>J14+J48+J58+J59</f>
        <v>86520481</v>
      </c>
    </row>
    <row r="62" spans="1:12" s="2" customFormat="1" ht="14.25" customHeight="1">
      <c r="A62" s="385" t="s">
        <v>2501</v>
      </c>
      <c r="B62" s="385"/>
      <c r="C62" s="385"/>
      <c r="D62" s="385"/>
      <c r="E62" s="385"/>
      <c r="F62" s="385"/>
      <c r="G62" s="15">
        <v>181</v>
      </c>
      <c r="H62" s="16"/>
      <c r="I62" s="66">
        <f>I60-I61</f>
        <v>2669518</v>
      </c>
      <c r="J62" s="66">
        <f>J60-J61</f>
        <v>2347923</v>
      </c>
      <c r="L62" s="2" t="s">
        <v>1209</v>
      </c>
    </row>
    <row r="63" spans="1:10" s="2" customFormat="1" ht="14.25" customHeight="1">
      <c r="A63" s="408" t="s">
        <v>2502</v>
      </c>
      <c r="B63" s="408"/>
      <c r="C63" s="408"/>
      <c r="D63" s="408"/>
      <c r="E63" s="408"/>
      <c r="F63" s="408"/>
      <c r="G63" s="15">
        <v>182</v>
      </c>
      <c r="H63" s="16"/>
      <c r="I63" s="66">
        <f>IF(I60&gt;I61,I60-I61,0)</f>
        <v>2669518</v>
      </c>
      <c r="J63" s="66">
        <f>IF(J60&gt;J61,J60-J61,0)</f>
        <v>2347923</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v>487279</v>
      </c>
      <c r="J65" s="67">
        <v>430927</v>
      </c>
      <c r="L65" s="2" t="s">
        <v>1209</v>
      </c>
    </row>
    <row r="66" spans="1:12" s="2" customFormat="1" ht="14.25" customHeight="1">
      <c r="A66" s="385" t="s">
        <v>2504</v>
      </c>
      <c r="B66" s="385"/>
      <c r="C66" s="385"/>
      <c r="D66" s="385"/>
      <c r="E66" s="385"/>
      <c r="F66" s="385"/>
      <c r="G66" s="15">
        <v>185</v>
      </c>
      <c r="H66" s="16"/>
      <c r="I66" s="66">
        <f>I62-I65</f>
        <v>2182239</v>
      </c>
      <c r="J66" s="66">
        <f>J62-J65</f>
        <v>1916996</v>
      </c>
      <c r="L66" s="2" t="s">
        <v>1209</v>
      </c>
    </row>
    <row r="67" spans="1:10" s="2" customFormat="1" ht="14.25" customHeight="1">
      <c r="A67" s="408" t="s">
        <v>2505</v>
      </c>
      <c r="B67" s="408"/>
      <c r="C67" s="408"/>
      <c r="D67" s="408"/>
      <c r="E67" s="408"/>
      <c r="F67" s="408"/>
      <c r="G67" s="15">
        <v>186</v>
      </c>
      <c r="H67" s="16"/>
      <c r="I67" s="66">
        <f>IF(I66&gt;0,I66,0)</f>
        <v>2182239</v>
      </c>
      <c r="J67" s="66">
        <f>IF(J66&gt;0,J66,0)</f>
        <v>1916996</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4" t="s">
        <v>2710</v>
      </c>
      <c r="B87" s="424"/>
      <c r="C87" s="424"/>
      <c r="D87" s="424"/>
      <c r="E87" s="424"/>
      <c r="F87" s="424"/>
      <c r="G87" s="17">
        <v>203</v>
      </c>
      <c r="H87" s="18"/>
      <c r="I87" s="74"/>
      <c r="J87" s="74"/>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4" t="s">
        <v>1099</v>
      </c>
      <c r="B113" s="424"/>
      <c r="C113" s="424"/>
      <c r="D113" s="424"/>
      <c r="E113" s="424"/>
      <c r="F113" s="424"/>
      <c r="G113" s="17">
        <v>227</v>
      </c>
      <c r="H113" s="18"/>
      <c r="I113" s="74"/>
      <c r="J113" s="74"/>
      <c r="L113" s="2" t="s">
        <v>1209</v>
      </c>
    </row>
    <row r="114" ht="4.5" customHeight="1"/>
  </sheetData>
  <sheetProtection password="C79A" sheet="1" objects="1" scenarios="1"/>
  <mergeCells count="112">
    <mergeCell ref="A104:F104"/>
    <mergeCell ref="A105:F105"/>
    <mergeCell ref="A113:F113"/>
    <mergeCell ref="A107:F107"/>
    <mergeCell ref="A108:F108"/>
    <mergeCell ref="A109:F109"/>
    <mergeCell ref="A111:F111"/>
    <mergeCell ref="A110:J110"/>
    <mergeCell ref="A112:F112"/>
    <mergeCell ref="A102:F102"/>
    <mergeCell ref="A87:F87"/>
    <mergeCell ref="A50:F50"/>
    <mergeCell ref="A51:F51"/>
    <mergeCell ref="A57:F57"/>
    <mergeCell ref="A103:F103"/>
    <mergeCell ref="A63:F63"/>
    <mergeCell ref="A52:F52"/>
    <mergeCell ref="A53:F53"/>
    <mergeCell ref="A54:F54"/>
    <mergeCell ref="A45:F45"/>
    <mergeCell ref="A42:F42"/>
    <mergeCell ref="A43:F43"/>
    <mergeCell ref="A44:F44"/>
    <mergeCell ref="A37:F37"/>
    <mergeCell ref="A32:F32"/>
    <mergeCell ref="A58:F58"/>
    <mergeCell ref="A59:F59"/>
    <mergeCell ref="A60:F60"/>
    <mergeCell ref="A62:F62"/>
    <mergeCell ref="A41:F41"/>
    <mergeCell ref="A28:F28"/>
    <mergeCell ref="A17:F17"/>
    <mergeCell ref="A48:F48"/>
    <mergeCell ref="A46:F46"/>
    <mergeCell ref="A47:F47"/>
    <mergeCell ref="A49:F49"/>
    <mergeCell ref="A20:F20"/>
    <mergeCell ref="A39:F39"/>
    <mergeCell ref="A40:F40"/>
    <mergeCell ref="A38:F38"/>
    <mergeCell ref="A35:F35"/>
    <mergeCell ref="A30:F30"/>
    <mergeCell ref="A33:F33"/>
    <mergeCell ref="A5:J5"/>
    <mergeCell ref="A6:F6"/>
    <mergeCell ref="A2:I2"/>
    <mergeCell ref="A3:I3"/>
    <mergeCell ref="J2:J3"/>
    <mergeCell ref="A31:F31"/>
    <mergeCell ref="A16:F16"/>
    <mergeCell ref="A23:F23"/>
    <mergeCell ref="A24:F24"/>
    <mergeCell ref="A88:J88"/>
    <mergeCell ref="A18:F18"/>
    <mergeCell ref="A19:F19"/>
    <mergeCell ref="A26:F26"/>
    <mergeCell ref="A27:F27"/>
    <mergeCell ref="A29:F29"/>
    <mergeCell ref="A36:F36"/>
    <mergeCell ref="A34:F34"/>
    <mergeCell ref="A15:F15"/>
    <mergeCell ref="A13:F13"/>
    <mergeCell ref="A21:F21"/>
    <mergeCell ref="A9:F9"/>
    <mergeCell ref="A8:F8"/>
    <mergeCell ref="A22:F22"/>
    <mergeCell ref="A7:F7"/>
    <mergeCell ref="A11:F11"/>
    <mergeCell ref="A71:F71"/>
    <mergeCell ref="A55:F55"/>
    <mergeCell ref="A56:F56"/>
    <mergeCell ref="A61:F61"/>
    <mergeCell ref="A25:F25"/>
    <mergeCell ref="A12:F12"/>
    <mergeCell ref="A10:F10"/>
    <mergeCell ref="A14:F14"/>
    <mergeCell ref="A72:F72"/>
    <mergeCell ref="A68:F68"/>
    <mergeCell ref="A67:F67"/>
    <mergeCell ref="A65:F65"/>
    <mergeCell ref="A66:F66"/>
    <mergeCell ref="A64:F64"/>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36" t="s">
        <v>821</v>
      </c>
      <c r="B2" s="437"/>
      <c r="C2" s="437"/>
      <c r="D2" s="437"/>
      <c r="E2" s="437"/>
      <c r="F2" s="437"/>
      <c r="G2" s="437"/>
      <c r="H2" s="437"/>
      <c r="I2" s="438"/>
      <c r="J2" s="392" t="s">
        <v>1211</v>
      </c>
      <c r="Q2" s="70">
        <f>IF(MAX(I9:I88)&gt;0,1,0)</f>
        <v>1</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1</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43158005754; LJEKARNA VARAŽDINSKE ŽUPANIJE</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v>68690871</v>
      </c>
      <c r="J26" s="73">
        <v>79422628</v>
      </c>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v>68690871</v>
      </c>
      <c r="J37" s="90">
        <v>79422628</v>
      </c>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v>220154</v>
      </c>
      <c r="J50" s="73">
        <v>406996</v>
      </c>
    </row>
    <row r="51" spans="1:10" s="2" customFormat="1" ht="24.75" customHeight="1">
      <c r="A51" s="408" t="s">
        <v>2106</v>
      </c>
      <c r="B51" s="408"/>
      <c r="C51" s="408"/>
      <c r="D51" s="408"/>
      <c r="E51" s="408"/>
      <c r="F51" s="408"/>
      <c r="G51" s="447"/>
      <c r="H51" s="15">
        <v>263</v>
      </c>
      <c r="I51" s="73">
        <v>42929</v>
      </c>
      <c r="J51" s="73">
        <v>36437</v>
      </c>
    </row>
    <row r="52" spans="1:10" s="2" customFormat="1" ht="24.75" customHeight="1">
      <c r="A52" s="408" t="s">
        <v>643</v>
      </c>
      <c r="B52" s="408"/>
      <c r="C52" s="408"/>
      <c r="D52" s="408"/>
      <c r="E52" s="408"/>
      <c r="F52" s="408"/>
      <c r="G52" s="447"/>
      <c r="H52" s="15">
        <v>264</v>
      </c>
      <c r="I52" s="73">
        <v>9708</v>
      </c>
      <c r="J52" s="73">
        <v>16636</v>
      </c>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v>132399</v>
      </c>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v>56933</v>
      </c>
      <c r="J60" s="73">
        <v>43916</v>
      </c>
    </row>
    <row r="61" spans="1:10" s="2" customFormat="1" ht="13.5" customHeight="1">
      <c r="A61" s="448" t="s">
        <v>645</v>
      </c>
      <c r="B61" s="448"/>
      <c r="C61" s="448"/>
      <c r="D61" s="448"/>
      <c r="E61" s="448"/>
      <c r="F61" s="448"/>
      <c r="G61" s="449"/>
      <c r="H61" s="15">
        <v>273</v>
      </c>
      <c r="I61" s="73">
        <v>50044</v>
      </c>
      <c r="J61" s="73">
        <v>37939</v>
      </c>
    </row>
    <row r="62" spans="1:10" s="2" customFormat="1" ht="13.5" customHeight="1">
      <c r="A62" s="408" t="s">
        <v>2820</v>
      </c>
      <c r="B62" s="408"/>
      <c r="C62" s="408"/>
      <c r="D62" s="408"/>
      <c r="E62" s="408"/>
      <c r="F62" s="408"/>
      <c r="G62" s="447"/>
      <c r="H62" s="15">
        <v>274</v>
      </c>
      <c r="I62" s="73">
        <v>400</v>
      </c>
      <c r="J62" s="73">
        <v>400</v>
      </c>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v>68111</v>
      </c>
      <c r="J64" s="73">
        <v>68223</v>
      </c>
    </row>
    <row r="65" spans="1:10" s="2" customFormat="1" ht="13.5" customHeight="1">
      <c r="A65" s="408" t="s">
        <v>642</v>
      </c>
      <c r="B65" s="408"/>
      <c r="C65" s="408"/>
      <c r="D65" s="408"/>
      <c r="E65" s="408"/>
      <c r="F65" s="408"/>
      <c r="G65" s="447"/>
      <c r="H65" s="15">
        <v>277</v>
      </c>
      <c r="I65" s="73">
        <v>1450726</v>
      </c>
      <c r="J65" s="73">
        <v>2223492</v>
      </c>
    </row>
    <row r="66" spans="1:10" s="2" customFormat="1" ht="13.5" customHeight="1">
      <c r="A66" s="448" t="s">
        <v>2658</v>
      </c>
      <c r="B66" s="448"/>
      <c r="C66" s="448"/>
      <c r="D66" s="448"/>
      <c r="E66" s="448"/>
      <c r="F66" s="448"/>
      <c r="G66" s="449"/>
      <c r="H66" s="15">
        <v>278</v>
      </c>
      <c r="I66" s="73"/>
      <c r="J66" s="73">
        <v>8000</v>
      </c>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v>9519</v>
      </c>
      <c r="J73" s="90">
        <v>14641</v>
      </c>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626656</v>
      </c>
      <c r="J78" s="220">
        <f>SUM(J79:J82)</f>
        <v>118566</v>
      </c>
    </row>
    <row r="79" spans="1:10" s="2" customFormat="1" ht="13.5" customHeight="1">
      <c r="A79" s="408" t="s">
        <v>1479</v>
      </c>
      <c r="B79" s="408"/>
      <c r="C79" s="408"/>
      <c r="D79" s="408"/>
      <c r="E79" s="408"/>
      <c r="F79" s="408"/>
      <c r="G79" s="447"/>
      <c r="H79" s="15">
        <v>289</v>
      </c>
      <c r="I79" s="73">
        <v>136484</v>
      </c>
      <c r="J79" s="73">
        <v>44216</v>
      </c>
    </row>
    <row r="80" spans="1:10" s="2" customFormat="1" ht="13.5" customHeight="1">
      <c r="A80" s="408" t="s">
        <v>1480</v>
      </c>
      <c r="B80" s="408"/>
      <c r="C80" s="408"/>
      <c r="D80" s="408"/>
      <c r="E80" s="408"/>
      <c r="F80" s="408"/>
      <c r="G80" s="447"/>
      <c r="H80" s="15">
        <v>290</v>
      </c>
      <c r="I80" s="73">
        <v>472465</v>
      </c>
      <c r="J80" s="73">
        <v>74350</v>
      </c>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v>17707</v>
      </c>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v>490172</v>
      </c>
      <c r="J84" s="73">
        <v>74350</v>
      </c>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43158005754; LJEKARNA VARAŽDINSKE ŽUPANIJE</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43158005754; LJEKARNA VARAŽDINSKE ŽUPANIJE</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row r="56" ht="12" hidden="1"/>
    <row r="57" ht="12" hidden="1"/>
    <row r="58" ht="12" hidden="1"/>
  </sheetData>
  <sheetProtection password="C79A" sheet="1" objects="1" scenarios="1"/>
  <mergeCells count="53">
    <mergeCell ref="A33:F33"/>
    <mergeCell ref="A41:F41"/>
    <mergeCell ref="A42:F42"/>
    <mergeCell ref="A36:F36"/>
    <mergeCell ref="A49:F49"/>
    <mergeCell ref="A47:F47"/>
    <mergeCell ref="A40:F40"/>
    <mergeCell ref="A46:F46"/>
    <mergeCell ref="A44:F44"/>
    <mergeCell ref="A34:F34"/>
    <mergeCell ref="A35:F35"/>
    <mergeCell ref="A54:F54"/>
    <mergeCell ref="A53:F53"/>
    <mergeCell ref="A50:F50"/>
    <mergeCell ref="A48:F48"/>
    <mergeCell ref="A51:F51"/>
    <mergeCell ref="A24:F24"/>
    <mergeCell ref="A37:F37"/>
    <mergeCell ref="A39:F39"/>
    <mergeCell ref="A38:J38"/>
    <mergeCell ref="A52:F52"/>
    <mergeCell ref="A21:F21"/>
    <mergeCell ref="A45:F45"/>
    <mergeCell ref="A43:F43"/>
    <mergeCell ref="A19:F19"/>
    <mergeCell ref="A30:F30"/>
    <mergeCell ref="A31:F31"/>
    <mergeCell ref="A28:F28"/>
    <mergeCell ref="A29:F29"/>
    <mergeCell ref="A20:F20"/>
    <mergeCell ref="A32:F32"/>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4" t="s">
        <v>158</v>
      </c>
      <c r="B2" s="474"/>
      <c r="C2" s="474"/>
      <c r="D2" s="474"/>
      <c r="E2" s="474"/>
      <c r="F2" s="474"/>
      <c r="G2" s="475"/>
      <c r="H2" s="475"/>
      <c r="I2" s="131"/>
      <c r="J2" s="131"/>
      <c r="K2" s="131"/>
      <c r="L2" s="131"/>
      <c r="M2" s="131"/>
      <c r="N2" s="131"/>
      <c r="O2" s="132"/>
      <c r="P2" s="392" t="s">
        <v>1214</v>
      </c>
      <c r="Q2" s="482"/>
      <c r="R2" s="482"/>
      <c r="S2" s="482"/>
      <c r="T2" s="482"/>
      <c r="U2" s="482"/>
      <c r="V2" s="482"/>
      <c r="W2" s="482"/>
      <c r="X2" s="482"/>
      <c r="Y2" s="483"/>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82"/>
      <c r="R3" s="482"/>
      <c r="S3" s="482"/>
      <c r="T3" s="482"/>
      <c r="U3" s="482"/>
      <c r="V3" s="482"/>
      <c r="W3" s="482"/>
      <c r="X3" s="482"/>
      <c r="Y3" s="483"/>
      <c r="Z3" s="473"/>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7" t="str">
        <f>"Obveznik: "&amp;IF(RefStr!C27&lt;&gt;"",RefStr!C27,"________")&amp;"; "&amp;IF(RefStr!C29&lt;&gt;"",RefStr!C29,"________________________________________________________"&amp;"; "&amp;IF(RefStr!F31&lt;&gt;"",RefStr!F31,"_______________"))</f>
        <v>Obveznik: 43158005754; LJEKARNA VARAŽDINSKE ŽUPANIJE</v>
      </c>
      <c r="B5" s="488"/>
      <c r="C5" s="488"/>
      <c r="D5" s="488"/>
      <c r="E5" s="488"/>
      <c r="F5" s="488"/>
      <c r="G5" s="488"/>
      <c r="H5" s="488"/>
      <c r="I5" s="488"/>
      <c r="J5" s="488"/>
      <c r="K5" s="488"/>
      <c r="L5" s="488"/>
      <c r="M5" s="488"/>
      <c r="N5" s="488"/>
      <c r="O5" s="489"/>
      <c r="P5" s="489"/>
      <c r="Q5" s="489"/>
      <c r="R5" s="489"/>
      <c r="S5" s="489"/>
      <c r="T5" s="489"/>
      <c r="U5" s="489"/>
      <c r="V5" s="489"/>
      <c r="W5" s="489"/>
      <c r="X5" s="489"/>
      <c r="Y5" s="489"/>
      <c r="Z5" s="490"/>
      <c r="AC5" s="3">
        <f>IF(OR(MAX(Y10:Y33)&lt;&gt;0,MIN(Y10:Y33)&lt;&gt;0),1,0)</f>
        <v>0</v>
      </c>
      <c r="AD5" s="12" t="s">
        <v>2651</v>
      </c>
    </row>
    <row r="6" spans="1:30" s="3" customFormat="1" ht="15" customHeight="1" thickBot="1">
      <c r="A6" s="454" t="s">
        <v>617</v>
      </c>
      <c r="B6" s="479"/>
      <c r="C6" s="479"/>
      <c r="D6" s="479"/>
      <c r="E6" s="479"/>
      <c r="F6" s="479"/>
      <c r="G6" s="455" t="s">
        <v>633</v>
      </c>
      <c r="H6" s="404" t="s">
        <v>2275</v>
      </c>
      <c r="I6" s="455" t="s">
        <v>615</v>
      </c>
      <c r="J6" s="455"/>
      <c r="K6" s="455"/>
      <c r="L6" s="455"/>
      <c r="M6" s="455"/>
      <c r="N6" s="455"/>
      <c r="O6" s="455"/>
      <c r="P6" s="455"/>
      <c r="Q6" s="455"/>
      <c r="R6" s="455"/>
      <c r="S6" s="455"/>
      <c r="T6" s="455"/>
      <c r="U6" s="455"/>
      <c r="V6" s="455"/>
      <c r="W6" s="455"/>
      <c r="X6" s="455"/>
      <c r="Y6" s="455" t="s">
        <v>1217</v>
      </c>
      <c r="Z6" s="476" t="s">
        <v>616</v>
      </c>
      <c r="AC6" s="3">
        <f>IF(OR(MAX(Y39:Y62)&lt;&gt;0,MIN(Y39:Y62)&lt;&gt;0),1,0)</f>
        <v>0</v>
      </c>
      <c r="AD6" s="12" t="s">
        <v>710</v>
      </c>
    </row>
    <row r="7" spans="1:30" s="3" customFormat="1" ht="67.5" customHeight="1" thickBot="1">
      <c r="A7" s="480"/>
      <c r="B7" s="481"/>
      <c r="C7" s="481"/>
      <c r="D7" s="481"/>
      <c r="E7" s="481"/>
      <c r="F7" s="481"/>
      <c r="G7" s="478"/>
      <c r="H7" s="478"/>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8"/>
      <c r="Z7" s="477"/>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84" t="s">
        <v>618</v>
      </c>
      <c r="B9" s="484"/>
      <c r="C9" s="484"/>
      <c r="D9" s="484"/>
      <c r="E9" s="484"/>
      <c r="F9" s="484"/>
      <c r="G9" s="484"/>
      <c r="H9" s="484"/>
      <c r="I9" s="484"/>
      <c r="J9" s="484"/>
      <c r="K9" s="484"/>
      <c r="L9" s="484"/>
      <c r="M9" s="484"/>
      <c r="N9" s="484"/>
      <c r="O9" s="485"/>
      <c r="P9" s="485"/>
      <c r="Q9" s="485"/>
      <c r="R9" s="485"/>
      <c r="S9" s="485"/>
      <c r="T9" s="485"/>
      <c r="U9" s="485"/>
      <c r="V9" s="485"/>
      <c r="W9" s="485"/>
      <c r="X9" s="485"/>
      <c r="Y9" s="485"/>
      <c r="Z9" s="486"/>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3:F13"/>
    <mergeCell ref="A14:F14"/>
    <mergeCell ref="A23:F23"/>
    <mergeCell ref="A18:F18"/>
    <mergeCell ref="A19:F19"/>
    <mergeCell ref="A20:F20"/>
    <mergeCell ref="A21:F21"/>
    <mergeCell ref="A42:F42"/>
    <mergeCell ref="A34:Z34"/>
    <mergeCell ref="A38:Z38"/>
    <mergeCell ref="A40:F40"/>
    <mergeCell ref="A3:H3"/>
    <mergeCell ref="A22:F22"/>
    <mergeCell ref="A16:F16"/>
    <mergeCell ref="A17:F17"/>
    <mergeCell ref="A8:F8"/>
    <mergeCell ref="A15:F15"/>
    <mergeCell ref="A26:F26"/>
    <mergeCell ref="A27:F27"/>
    <mergeCell ref="A24:F24"/>
    <mergeCell ref="A25:F25"/>
    <mergeCell ref="A28:F28"/>
    <mergeCell ref="A43:F43"/>
    <mergeCell ref="A31:F31"/>
    <mergeCell ref="A32:F32"/>
    <mergeCell ref="A33:F33"/>
    <mergeCell ref="A41:F41"/>
    <mergeCell ref="A46:F46"/>
    <mergeCell ref="A47:F47"/>
    <mergeCell ref="A29:F29"/>
    <mergeCell ref="A30:F30"/>
    <mergeCell ref="A35:F35"/>
    <mergeCell ref="A36:F36"/>
    <mergeCell ref="A37:F37"/>
    <mergeCell ref="A39:F39"/>
    <mergeCell ref="A44:F44"/>
    <mergeCell ref="A45:F45"/>
    <mergeCell ref="A60:F60"/>
    <mergeCell ref="A48:F48"/>
    <mergeCell ref="A49:F49"/>
    <mergeCell ref="A54:F54"/>
    <mergeCell ref="A55:F55"/>
    <mergeCell ref="A50:F50"/>
    <mergeCell ref="A51:F51"/>
    <mergeCell ref="A52:F52"/>
    <mergeCell ref="A53:F53"/>
    <mergeCell ref="A56:F56"/>
    <mergeCell ref="A58:F58"/>
    <mergeCell ref="A57:F57"/>
    <mergeCell ref="A66:F66"/>
    <mergeCell ref="A61:F61"/>
    <mergeCell ref="A62:F62"/>
    <mergeCell ref="A64:F64"/>
    <mergeCell ref="A65:F65"/>
    <mergeCell ref="A63:Z63"/>
    <mergeCell ref="A59:F59"/>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pc1</cp:lastModifiedBy>
  <cp:lastPrinted>2021-09-27T13:29:50Z</cp:lastPrinted>
  <dcterms:created xsi:type="dcterms:W3CDTF">2008-10-17T11:51:54Z</dcterms:created>
  <dcterms:modified xsi:type="dcterms:W3CDTF">2023-02-08T08:55:29Z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