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Finan.plan 2023" sheetId="1" r:id="rId1"/>
  </sheets>
  <definedNames/>
  <calcPr fullCalcOnLoad="1"/>
</workbook>
</file>

<file path=xl/sharedStrings.xml><?xml version="1.0" encoding="utf-8"?>
<sst xmlns="http://schemas.openxmlformats.org/spreadsheetml/2006/main" count="89" uniqueCount="82">
  <si>
    <t>1.</t>
  </si>
  <si>
    <t>2.</t>
  </si>
  <si>
    <t>3.</t>
  </si>
  <si>
    <t>4.</t>
  </si>
  <si>
    <t>Prihodi od proračuna (središnji i lokalni)</t>
  </si>
  <si>
    <t>5.</t>
  </si>
  <si>
    <t>Prihodi od ostalih korisnika</t>
  </si>
  <si>
    <t>6.</t>
  </si>
  <si>
    <t>Prihodi od participacije</t>
  </si>
  <si>
    <t>7.</t>
  </si>
  <si>
    <t>8.</t>
  </si>
  <si>
    <t>9.</t>
  </si>
  <si>
    <t>Primici od financijske imovine i zaduženja</t>
  </si>
  <si>
    <t>Lijekovi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</si>
  <si>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</si>
  <si>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</si>
  <si>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</si>
  <si>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</si>
  <si>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</si>
  <si>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</si>
  <si>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</si>
  <si>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</si>
  <si>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10.</t>
  </si>
  <si>
    <t>Ugrađeni rezervni dijelovi</t>
  </si>
  <si>
    <t>11.</t>
  </si>
  <si>
    <t>12.</t>
  </si>
  <si>
    <t>Tekuće i investicijsko održavanje</t>
  </si>
  <si>
    <t>13.</t>
  </si>
  <si>
    <t>14.</t>
  </si>
  <si>
    <t>Ostali izdaci</t>
  </si>
  <si>
    <t>15.</t>
  </si>
  <si>
    <t>Bruto plaće</t>
  </si>
  <si>
    <t>16.</t>
  </si>
  <si>
    <t>17.</t>
  </si>
  <si>
    <t>Doprinosi na plaće</t>
  </si>
  <si>
    <t>18.</t>
  </si>
  <si>
    <t>Izdaci za prijevoz zaposlenika</t>
  </si>
  <si>
    <t>19.</t>
  </si>
  <si>
    <t>20.</t>
  </si>
  <si>
    <t>Financijski rashodi</t>
  </si>
  <si>
    <t>21.</t>
  </si>
  <si>
    <t>Izdaci za kapitalna ulaganja</t>
  </si>
  <si>
    <t>22.</t>
  </si>
  <si>
    <t>23.</t>
  </si>
  <si>
    <t>Ostali izvanredni izdaci</t>
  </si>
  <si>
    <t>24.</t>
  </si>
  <si>
    <t>Izdaci za financijsku imovinu i otplate zajmova</t>
  </si>
  <si>
    <t>Nabavna vrijednost prodane robe</t>
  </si>
  <si>
    <t>Poštanski izdaci, telefonija i internet</t>
  </si>
  <si>
    <t>Red.</t>
  </si>
  <si>
    <t>P O K A Z A T E L J I</t>
  </si>
  <si>
    <t>broj</t>
  </si>
  <si>
    <t>I.  PRIHODI - PRIMICI</t>
  </si>
  <si>
    <t>Prihodi od HZZO (Proračuna RH)</t>
  </si>
  <si>
    <t xml:space="preserve">               - dopunsko zdravstveno osiguranje</t>
  </si>
  <si>
    <t xml:space="preserve">               - s osnova ozljeda na radu i 
                 profes. bolesti</t>
  </si>
  <si>
    <t>Prihodi od pruženih usluga drugim zdravstvenim ustanovama</t>
  </si>
  <si>
    <t>Ostali prihodi i izvanredni prihodi</t>
  </si>
  <si>
    <t>UKUPNI PRIHODI (1 - 7)</t>
  </si>
  <si>
    <t xml:space="preserve">II. RASHODI - IZDACI </t>
  </si>
  <si>
    <t>Izdaci za usluge drugih zdrav. ustanova</t>
  </si>
  <si>
    <t>Materijalni izdaci (1 - 14)</t>
  </si>
  <si>
    <t>Ostali rashodi za zaposlene</t>
  </si>
  <si>
    <t>Ostali materijalni rashodi za zaposlene</t>
  </si>
  <si>
    <t>Nematerijalni izdaci (15 - 19)</t>
  </si>
  <si>
    <t>Višak prihoda nad rashodima i izdacima</t>
  </si>
  <si>
    <t>Manjak prihoda nad rashodima i izdacima</t>
  </si>
  <si>
    <t xml:space="preserve">               - osnovno osiguranje</t>
  </si>
  <si>
    <t>UKUPNI RASHODI I IZDACI (1-24)</t>
  </si>
  <si>
    <t>Porez na dobit</t>
  </si>
  <si>
    <t>Dobit nakon oporezivanja</t>
  </si>
  <si>
    <t>LJEKARNE VARAŽDINSKE ŽUPANIJE za razdoblje 01.01. - 31.12.2023. godine</t>
  </si>
  <si>
    <t>Plan
01.01.-31.12.2023.</t>
  </si>
  <si>
    <t>Plan
01.01.-31.12.2022.</t>
  </si>
  <si>
    <t>Realizirane vrijednosti
01.01.-31.12.2021.</t>
  </si>
  <si>
    <t xml:space="preserve">FINANCIJSKI PLAN </t>
  </si>
  <si>
    <t>Napomena: svi iznosi iskazani su u valuti EUR</t>
  </si>
  <si>
    <t>Izradila:</t>
  </si>
  <si>
    <t>Predsjednik Upravnog vijeća:</t>
  </si>
  <si>
    <t>Adriana Martinjak, dipl.oec., univ.spec.oec.</t>
  </si>
  <si>
    <t>prof.dr.sc. Marijan Cingula</t>
  </si>
  <si>
    <t>U Varaždinu, 08.12.2022 godine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</si>
</sst>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&quot;[$kn-41A];[Red]&quot;-&quot;#,##0.00&quot; &quot;[$kn-41A]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Liberation Sans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Liberation Sans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Liberation Sans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1" applyNumberFormat="0" applyFont="0" applyAlignment="0" applyProtection="0"/>
    <xf numFmtId="0" fontId="28" fillId="22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7" fillId="23" borderId="2" applyNumberFormat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3" applyNumberFormat="0" applyAlignment="0" applyProtection="0"/>
    <xf numFmtId="0" fontId="31" fillId="30" borderId="4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33" borderId="9" applyNumberFormat="0" applyAlignment="0" applyProtection="0"/>
    <xf numFmtId="0" fontId="40" fillId="0" borderId="0">
      <alignment/>
      <protection/>
    </xf>
    <xf numFmtId="166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4" borderId="4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0" fillId="0" borderId="25" xfId="0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34" xfId="0" applyNumberFormat="1" applyFont="1" applyBorder="1" applyAlignment="1">
      <alignment horizontal="right" vertical="center"/>
    </xf>
    <xf numFmtId="164" fontId="0" fillId="0" borderId="29" xfId="65" applyNumberFormat="1" applyFont="1" applyBorder="1" applyAlignment="1">
      <alignment vertical="center"/>
    </xf>
    <xf numFmtId="164" fontId="0" fillId="0" borderId="35" xfId="65" applyNumberFormat="1" applyFont="1" applyBorder="1" applyAlignment="1">
      <alignment horizontal="right" vertical="center"/>
    </xf>
    <xf numFmtId="164" fontId="0" fillId="0" borderId="26" xfId="65" applyNumberFormat="1" applyFont="1" applyBorder="1" applyAlignment="1">
      <alignment vertical="center"/>
    </xf>
    <xf numFmtId="164" fontId="0" fillId="0" borderId="26" xfId="65" applyNumberFormat="1" applyFont="1" applyFill="1" applyBorder="1" applyAlignment="1">
      <alignment vertical="center"/>
    </xf>
    <xf numFmtId="164" fontId="0" fillId="0" borderId="36" xfId="65" applyNumberFormat="1" applyFont="1" applyFill="1" applyBorder="1" applyAlignment="1">
      <alignment vertical="center"/>
    </xf>
    <xf numFmtId="164" fontId="0" fillId="0" borderId="37" xfId="65" applyNumberFormat="1" applyFont="1" applyBorder="1" applyAlignment="1">
      <alignment horizontal="right" vertical="center"/>
    </xf>
    <xf numFmtId="164" fontId="0" fillId="0" borderId="29" xfId="65" applyNumberFormat="1" applyFont="1" applyBorder="1" applyAlignment="1">
      <alignment horizontal="right" vertical="center"/>
    </xf>
    <xf numFmtId="164" fontId="4" fillId="0" borderId="38" xfId="65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43" xfId="0" applyNumberFormat="1" applyFont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" fontId="0" fillId="0" borderId="47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indent="2"/>
    </xf>
    <xf numFmtId="0" fontId="4" fillId="0" borderId="56" xfId="0" applyFont="1" applyBorder="1" applyAlignment="1">
      <alignment horizontal="left" vertical="center" indent="2"/>
    </xf>
    <xf numFmtId="0" fontId="4" fillId="0" borderId="38" xfId="0" applyFont="1" applyBorder="1" applyAlignment="1">
      <alignment horizontal="left" vertical="center" indent="2"/>
    </xf>
    <xf numFmtId="0" fontId="2" fillId="0" borderId="55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4" fillId="0" borderId="55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4" xfId="15"/>
    <cellStyle name="20% - Isticanje1" xfId="16"/>
    <cellStyle name="20% - Isticanje2" xfId="17"/>
    <cellStyle name="20% - Isticanje3" xfId="18"/>
    <cellStyle name="20% - Isticanje4" xfId="19"/>
    <cellStyle name="20% - Isticanje5" xfId="20"/>
    <cellStyle name="20% - Isticanje6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eading" xfId="36"/>
    <cellStyle name="Heading1" xfId="37"/>
    <cellStyle name="Input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Result" xfId="57"/>
    <cellStyle name="Result2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40">
      <selection activeCell="B64" sqref="B64"/>
    </sheetView>
  </sheetViews>
  <sheetFormatPr defaultColWidth="9.00390625" defaultRowHeight="14.25"/>
  <cols>
    <col min="1" max="1" width="6.625" style="1" customWidth="1"/>
    <col min="2" max="2" width="36.375" style="1" customWidth="1"/>
    <col min="3" max="5" width="22.625" style="1" customWidth="1"/>
    <col min="6" max="16384" width="9.00390625" style="1" customWidth="1"/>
  </cols>
  <sheetData>
    <row r="1" spans="1:5" ht="14.25">
      <c r="A1" s="76"/>
      <c r="B1" s="76"/>
      <c r="C1" s="76"/>
      <c r="D1" s="76"/>
      <c r="E1" s="76"/>
    </row>
    <row r="2" ht="9.75" customHeight="1"/>
    <row r="3" spans="1:5" ht="18" customHeight="1">
      <c r="A3" s="77" t="s">
        <v>75</v>
      </c>
      <c r="B3" s="77"/>
      <c r="C3" s="77"/>
      <c r="D3" s="77"/>
      <c r="E3" s="77"/>
    </row>
    <row r="4" spans="1:5" ht="20.25" customHeight="1">
      <c r="A4" s="78" t="s">
        <v>71</v>
      </c>
      <c r="B4" s="78"/>
      <c r="C4" s="78"/>
      <c r="D4" s="78"/>
      <c r="E4" s="78"/>
    </row>
    <row r="5" spans="1:5" ht="14.25">
      <c r="A5" s="2"/>
      <c r="E5" s="3"/>
    </row>
    <row r="6" spans="1:5" ht="14.25" customHeight="1">
      <c r="A6" s="4" t="s">
        <v>49</v>
      </c>
      <c r="B6" s="79" t="s">
        <v>50</v>
      </c>
      <c r="C6" s="80" t="s">
        <v>74</v>
      </c>
      <c r="D6" s="80" t="s">
        <v>73</v>
      </c>
      <c r="E6" s="81" t="s">
        <v>72</v>
      </c>
    </row>
    <row r="7" spans="1:5" ht="14.25">
      <c r="A7" s="5" t="s">
        <v>51</v>
      </c>
      <c r="B7" s="79"/>
      <c r="C7" s="80"/>
      <c r="D7" s="80"/>
      <c r="E7" s="81"/>
    </row>
    <row r="8" spans="1:5" s="6" customFormat="1" ht="10.5" thickBot="1">
      <c r="A8" s="24">
        <v>0</v>
      </c>
      <c r="B8" s="24">
        <v>1</v>
      </c>
      <c r="C8" s="24">
        <v>2</v>
      </c>
      <c r="D8" s="24">
        <v>3</v>
      </c>
      <c r="E8" s="71">
        <v>4</v>
      </c>
    </row>
    <row r="9" spans="1:5" ht="16.5" customHeight="1" thickBot="1">
      <c r="A9" s="82" t="s">
        <v>52</v>
      </c>
      <c r="B9" s="83"/>
      <c r="C9" s="83"/>
      <c r="D9" s="83"/>
      <c r="E9" s="84"/>
    </row>
    <row r="10" spans="1:5" ht="14.25">
      <c r="A10" s="52" t="s">
        <v>0</v>
      </c>
      <c r="B10" s="63" t="s">
        <v>53</v>
      </c>
      <c r="C10" s="72">
        <f>(42930151/7.5345)</f>
        <v>5697810.206383967</v>
      </c>
      <c r="D10" s="72">
        <f>(53000000/7.5345)</f>
        <v>7034308.84597518</v>
      </c>
      <c r="E10" s="64">
        <v>6981220</v>
      </c>
    </row>
    <row r="11" spans="1:5" ht="14.25">
      <c r="A11" s="52"/>
      <c r="B11" s="33" t="s">
        <v>67</v>
      </c>
      <c r="C11" s="56"/>
      <c r="D11" s="56"/>
      <c r="E11" s="64"/>
    </row>
    <row r="12" spans="1:5" ht="14.25">
      <c r="A12" s="31"/>
      <c r="B12" s="33" t="s">
        <v>54</v>
      </c>
      <c r="C12" s="56"/>
      <c r="D12" s="56"/>
      <c r="E12" s="65"/>
    </row>
    <row r="13" spans="1:5" ht="28.5">
      <c r="A13" s="39"/>
      <c r="B13" s="34" t="s">
        <v>55</v>
      </c>
      <c r="C13" s="56"/>
      <c r="D13" s="56"/>
      <c r="E13" s="66"/>
    </row>
    <row r="14" spans="1:5" ht="28.5">
      <c r="A14" s="53" t="s">
        <v>1</v>
      </c>
      <c r="B14" s="35" t="s">
        <v>56</v>
      </c>
      <c r="C14" s="56"/>
      <c r="D14" s="56"/>
      <c r="E14" s="66"/>
    </row>
    <row r="15" spans="1:5" ht="14.25">
      <c r="A15" s="54" t="s">
        <v>2</v>
      </c>
      <c r="B15" s="33" t="s">
        <v>4</v>
      </c>
      <c r="C15" s="56"/>
      <c r="D15" s="56"/>
      <c r="E15" s="65"/>
    </row>
    <row r="16" spans="1:5" ht="14.25">
      <c r="A16" s="54" t="s">
        <v>3</v>
      </c>
      <c r="B16" s="33" t="s">
        <v>6</v>
      </c>
      <c r="C16" s="56">
        <f>(20119577/7.5345)</f>
        <v>2670326.7635543165</v>
      </c>
      <c r="D16" s="56">
        <f>(22000000/7.5345)</f>
        <v>2919901.785121773</v>
      </c>
      <c r="E16" s="65">
        <v>3517154</v>
      </c>
    </row>
    <row r="17" spans="1:5" ht="14.25">
      <c r="A17" s="54" t="s">
        <v>5</v>
      </c>
      <c r="B17" s="36" t="s">
        <v>8</v>
      </c>
      <c r="C17" s="56">
        <f>(5641143/7.5345)</f>
        <v>748708.3416285089</v>
      </c>
      <c r="D17" s="56">
        <f>(5970000/7.5345)</f>
        <v>792355.1662353175</v>
      </c>
      <c r="E17" s="65">
        <f>7300000/7.5345</f>
        <v>968876.5014267701</v>
      </c>
    </row>
    <row r="18" spans="1:5" ht="14.25">
      <c r="A18" s="54" t="s">
        <v>7</v>
      </c>
      <c r="B18" s="33" t="s">
        <v>57</v>
      </c>
      <c r="C18" s="56">
        <f>(9084020/7.5345)</f>
        <v>1205656.6460946314</v>
      </c>
      <c r="D18" s="56">
        <f>(9000000/7.5345)</f>
        <v>1194505.2757316343</v>
      </c>
      <c r="E18" s="65">
        <f>9100000/7.5345</f>
        <v>1207777.5565730971</v>
      </c>
    </row>
    <row r="19" spans="1:5" ht="15" thickBot="1">
      <c r="A19" s="55" t="s">
        <v>9</v>
      </c>
      <c r="B19" s="62" t="s">
        <v>12</v>
      </c>
      <c r="C19" s="56"/>
      <c r="D19" s="56"/>
      <c r="E19" s="66"/>
    </row>
    <row r="20" spans="1:5" ht="16.5" thickBot="1">
      <c r="A20" s="85" t="s">
        <v>58</v>
      </c>
      <c r="B20" s="86"/>
      <c r="C20" s="50">
        <f>SUM(C10:C19)</f>
        <v>10322501.957661424</v>
      </c>
      <c r="D20" s="50">
        <f>SUM(D10:D19)</f>
        <v>11941071.073063906</v>
      </c>
      <c r="E20" s="50">
        <v>12675029</v>
      </c>
    </row>
    <row r="21" spans="1:5" ht="15.75" customHeight="1" thickBot="1">
      <c r="A21" s="87" t="s">
        <v>59</v>
      </c>
      <c r="B21" s="88"/>
      <c r="C21" s="49"/>
      <c r="D21" s="49"/>
      <c r="E21" s="73"/>
    </row>
    <row r="22" spans="1:5" ht="14.25">
      <c r="A22" s="25" t="s">
        <v>0</v>
      </c>
      <c r="B22" s="17" t="s">
        <v>13</v>
      </c>
      <c r="C22" s="43"/>
      <c r="D22" s="43"/>
      <c r="E22" s="67"/>
    </row>
    <row r="23" spans="1:5" ht="14.25">
      <c r="A23" s="8" t="s">
        <v>1</v>
      </c>
      <c r="B23" s="9" t="s">
        <v>14</v>
      </c>
      <c r="C23" s="43"/>
      <c r="D23" s="43"/>
      <c r="E23" s="68"/>
    </row>
    <row r="24" spans="1:5" ht="14.25">
      <c r="A24" s="8" t="s">
        <v>2</v>
      </c>
      <c r="B24" s="9" t="s">
        <v>15</v>
      </c>
      <c r="C24" s="43"/>
      <c r="D24" s="43"/>
      <c r="E24" s="68"/>
    </row>
    <row r="25" spans="1:5" ht="14.25">
      <c r="A25" s="8" t="s">
        <v>3</v>
      </c>
      <c r="B25" s="9" t="s">
        <v>16</v>
      </c>
      <c r="C25" s="43"/>
      <c r="D25" s="43"/>
      <c r="E25" s="68"/>
    </row>
    <row r="26" spans="1:5" ht="14.25">
      <c r="A26" s="8" t="s">
        <v>5</v>
      </c>
      <c r="B26" s="9" t="s">
        <v>17</v>
      </c>
      <c r="C26" s="43"/>
      <c r="D26" s="33"/>
      <c r="E26" s="68"/>
    </row>
    <row r="27" spans="1:5" ht="14.25">
      <c r="A27" s="8" t="s">
        <v>7</v>
      </c>
      <c r="B27" s="9" t="s">
        <v>18</v>
      </c>
      <c r="C27" s="12">
        <f>(37852/7.5345)</f>
        <v>5023.823744110425</v>
      </c>
      <c r="D27" s="12">
        <f>(45000/7.5345)</f>
        <v>5972.526378658172</v>
      </c>
      <c r="E27" s="68">
        <f>45000/7.5345</f>
        <v>5972.526378658172</v>
      </c>
    </row>
    <row r="28" spans="1:5" ht="14.25">
      <c r="A28" s="8" t="s">
        <v>9</v>
      </c>
      <c r="B28" s="9" t="s">
        <v>19</v>
      </c>
      <c r="C28" s="12">
        <f>(82666/7.5345)</f>
        <v>10971.663680403477</v>
      </c>
      <c r="D28" s="12">
        <f>(90000/7.5345)</f>
        <v>11945.052757316344</v>
      </c>
      <c r="E28" s="68">
        <f>90000/7.5345</f>
        <v>11945.052757316344</v>
      </c>
    </row>
    <row r="29" spans="1:5" ht="14.25">
      <c r="A29" s="8" t="s">
        <v>10</v>
      </c>
      <c r="B29" s="9" t="s">
        <v>20</v>
      </c>
      <c r="C29" s="12">
        <f>(9708/7.5345)</f>
        <v>1288.4730240891897</v>
      </c>
      <c r="D29" s="12">
        <f>(21000/7.5345)</f>
        <v>2787.178976707147</v>
      </c>
      <c r="E29" s="68">
        <f>20000/7.5345</f>
        <v>2654.456168292521</v>
      </c>
    </row>
    <row r="30" spans="1:5" ht="14.25">
      <c r="A30" s="8" t="s">
        <v>11</v>
      </c>
      <c r="B30" s="9" t="s">
        <v>21</v>
      </c>
      <c r="C30" s="12">
        <f>(220154/7.5345)</f>
        <v>29219.45716371358</v>
      </c>
      <c r="D30" s="12">
        <f>(230000/7.5345)</f>
        <v>30526.24593536399</v>
      </c>
      <c r="E30" s="68">
        <f>420000/7.5345</f>
        <v>55743.57953414294</v>
      </c>
    </row>
    <row r="31" spans="1:5" ht="14.25">
      <c r="A31" s="8" t="s">
        <v>22</v>
      </c>
      <c r="B31" s="9" t="s">
        <v>23</v>
      </c>
      <c r="C31" s="12"/>
      <c r="D31" s="12"/>
      <c r="E31" s="68"/>
    </row>
    <row r="32" spans="1:5" ht="14.25">
      <c r="A32" s="8" t="s">
        <v>24</v>
      </c>
      <c r="B32" s="9" t="s">
        <v>48</v>
      </c>
      <c r="C32" s="12">
        <f>(72584/7.5345)</f>
        <v>9633.552325967217</v>
      </c>
      <c r="D32" s="12">
        <f>(80000/7.5345)</f>
        <v>10617.824673170084</v>
      </c>
      <c r="E32" s="68">
        <f>80000/7.5345</f>
        <v>10617.824673170084</v>
      </c>
    </row>
    <row r="33" spans="1:5" ht="14.25">
      <c r="A33" s="8" t="s">
        <v>25</v>
      </c>
      <c r="B33" s="9" t="s">
        <v>26</v>
      </c>
      <c r="C33" s="12">
        <f>(1009571/7.5345)</f>
        <v>133993.09841396243</v>
      </c>
      <c r="D33" s="12">
        <f>(950000/7.5345)</f>
        <v>126086.66799389475</v>
      </c>
      <c r="E33" s="68">
        <f>900000/7.5345</f>
        <v>119450.52757316345</v>
      </c>
    </row>
    <row r="34" spans="1:5" ht="14.25">
      <c r="A34" s="8" t="s">
        <v>27</v>
      </c>
      <c r="B34" s="9" t="s">
        <v>60</v>
      </c>
      <c r="C34" s="12"/>
      <c r="D34" s="42"/>
      <c r="E34" s="68"/>
    </row>
    <row r="35" spans="1:5" ht="15" thickBot="1">
      <c r="A35" s="13" t="s">
        <v>28</v>
      </c>
      <c r="B35" s="14" t="s">
        <v>29</v>
      </c>
      <c r="C35" s="11">
        <f>(911829/7.5345)</f>
        <v>121020.50567390006</v>
      </c>
      <c r="D35" s="11">
        <f>(1200000/7.5345)</f>
        <v>159267.37009755126</v>
      </c>
      <c r="E35" s="69">
        <f>850000/7.5345</f>
        <v>112814.38715243214</v>
      </c>
    </row>
    <row r="36" spans="1:5" ht="16.5" thickBot="1">
      <c r="A36" s="26" t="s">
        <v>61</v>
      </c>
      <c r="B36" s="27"/>
      <c r="C36" s="57">
        <f>SUM(C24:C35)</f>
        <v>311150.5740261464</v>
      </c>
      <c r="D36" s="57">
        <f>SUM(D24:D35)</f>
        <v>347202.86681266176</v>
      </c>
      <c r="E36" s="57">
        <f>E27+E28+E29+E30+E32+E33+E35+1</f>
        <v>319199.35423717566</v>
      </c>
    </row>
    <row r="37" spans="1:5" ht="14.25">
      <c r="A37" s="13" t="s">
        <v>30</v>
      </c>
      <c r="B37" s="7" t="s">
        <v>31</v>
      </c>
      <c r="C37" s="58">
        <f>(9789224/7.5345)</f>
        <v>1299253.3014798593</v>
      </c>
      <c r="D37" s="40">
        <f>(11000000/7.5345)</f>
        <v>1459950.8925608865</v>
      </c>
      <c r="E37" s="64">
        <f>13500000/7.5345</f>
        <v>1791757.9135974515</v>
      </c>
    </row>
    <row r="38" spans="1:5" ht="14.25">
      <c r="A38" s="8" t="s">
        <v>32</v>
      </c>
      <c r="B38" s="31" t="s">
        <v>62</v>
      </c>
      <c r="C38" s="59">
        <f>(821622/7.5345)</f>
        <v>109047.97929524188</v>
      </c>
      <c r="D38" s="37">
        <f>(930000/7.5345)</f>
        <v>123432.21182560222</v>
      </c>
      <c r="E38" s="65">
        <f>1520000/7.5345</f>
        <v>201738.6687902316</v>
      </c>
    </row>
    <row r="39" spans="1:5" ht="14.25">
      <c r="A39" s="10" t="s">
        <v>33</v>
      </c>
      <c r="B39" s="39" t="s">
        <v>34</v>
      </c>
      <c r="C39" s="60">
        <f>(1287113/7.5345)</f>
        <v>170829.25210697457</v>
      </c>
      <c r="D39" s="38">
        <f>(1400000/7.5345)</f>
        <v>185811.93178047647</v>
      </c>
      <c r="E39" s="66">
        <f>1810000/7.5345</f>
        <v>240228.28323047314</v>
      </c>
    </row>
    <row r="40" spans="1:5" ht="14.25">
      <c r="A40" s="8" t="s">
        <v>35</v>
      </c>
      <c r="B40" s="31" t="s">
        <v>36</v>
      </c>
      <c r="C40" s="59">
        <f>(629105/7.5345)</f>
        <v>83496.58238768332</v>
      </c>
      <c r="D40" s="37">
        <f>(720000/7.5345)</f>
        <v>95560.42205853075</v>
      </c>
      <c r="E40" s="65">
        <f>960000/7.5345</f>
        <v>127413.896078041</v>
      </c>
    </row>
    <row r="41" spans="1:5" ht="15" thickBot="1">
      <c r="A41" s="15" t="s">
        <v>37</v>
      </c>
      <c r="B41" s="16" t="s">
        <v>63</v>
      </c>
      <c r="C41" s="61">
        <f>(21901/7.5345)</f>
        <v>2906.762227088725</v>
      </c>
      <c r="D41" s="41">
        <f>(80000/7.5345)</f>
        <v>10617.824673170084</v>
      </c>
      <c r="E41" s="70">
        <f>60000/7.5345</f>
        <v>7963.368504877562</v>
      </c>
    </row>
    <row r="42" spans="1:5" ht="16.5" thickBot="1">
      <c r="A42" s="26" t="s">
        <v>64</v>
      </c>
      <c r="B42" s="27"/>
      <c r="C42" s="57">
        <f>SUM(C37:C41)</f>
        <v>1665533.8774968477</v>
      </c>
      <c r="D42" s="57">
        <f>SUM(D37:D41)</f>
        <v>1875373.2828986659</v>
      </c>
      <c r="E42" s="57">
        <f>SUM(E37:E41)</f>
        <v>2369102.1302010748</v>
      </c>
    </row>
    <row r="43" spans="1:5" ht="14.25">
      <c r="A43" s="13" t="s">
        <v>38</v>
      </c>
      <c r="B43" s="30" t="s">
        <v>39</v>
      </c>
      <c r="C43" s="47"/>
      <c r="D43" s="47"/>
      <c r="E43" s="64"/>
    </row>
    <row r="44" spans="1:5" ht="14.25">
      <c r="A44" s="18" t="s">
        <v>40</v>
      </c>
      <c r="B44" s="1" t="s">
        <v>41</v>
      </c>
      <c r="C44" s="48"/>
      <c r="D44" s="48"/>
      <c r="E44" s="65"/>
    </row>
    <row r="45" spans="1:5" ht="14.25">
      <c r="A45" s="18" t="s">
        <v>42</v>
      </c>
      <c r="B45" s="31" t="s">
        <v>44</v>
      </c>
      <c r="C45" s="37">
        <f>(1099677/7.5345)</f>
        <v>145952.21978897072</v>
      </c>
      <c r="D45" s="37">
        <f>(1180000/7.5345)</f>
        <v>156612.91392925874</v>
      </c>
      <c r="E45" s="65">
        <f>1180000/7.5345</f>
        <v>156612.91392925874</v>
      </c>
    </row>
    <row r="46" spans="1:5" ht="14.25">
      <c r="A46" s="18" t="s">
        <v>43</v>
      </c>
      <c r="B46" s="32" t="s">
        <v>46</v>
      </c>
      <c r="C46" s="37"/>
      <c r="D46" s="37"/>
      <c r="E46" s="65"/>
    </row>
    <row r="47" spans="1:5" ht="15" thickBot="1">
      <c r="A47" s="19" t="s">
        <v>45</v>
      </c>
      <c r="B47" s="7" t="s">
        <v>47</v>
      </c>
      <c r="C47" s="38">
        <f>(59112367/7.5345)</f>
        <v>7845559.360276063</v>
      </c>
      <c r="D47" s="38">
        <f>(70370000/7.5345)</f>
        <v>9339704.028137235</v>
      </c>
      <c r="E47" s="66">
        <v>9556042</v>
      </c>
    </row>
    <row r="48" spans="1:5" ht="16.5" thickBot="1">
      <c r="A48" s="89" t="s">
        <v>68</v>
      </c>
      <c r="B48" s="90"/>
      <c r="C48" s="51">
        <f>C47+C45+C42+C36</f>
        <v>9968196.031588027</v>
      </c>
      <c r="D48" s="51">
        <f>SUM(D45:D47)+D42+D36</f>
        <v>11718893.091777822</v>
      </c>
      <c r="E48" s="57">
        <f>E36+E42+E45+E47</f>
        <v>12400956.39836751</v>
      </c>
    </row>
    <row r="49" spans="1:5" ht="15" customHeight="1" thickBot="1">
      <c r="A49" s="20"/>
      <c r="B49" s="28" t="s">
        <v>65</v>
      </c>
      <c r="C49" s="29">
        <f>C20-C48</f>
        <v>354305.9260733966</v>
      </c>
      <c r="D49" s="29">
        <f>D20-D48</f>
        <v>222177.98128608428</v>
      </c>
      <c r="E49" s="74">
        <f>SUM(E20-E48)</f>
        <v>274072.60163249075</v>
      </c>
    </row>
    <row r="50" spans="1:5" ht="15" customHeight="1" thickBot="1">
      <c r="A50" s="21"/>
      <c r="B50" s="22" t="s">
        <v>66</v>
      </c>
      <c r="C50" s="44"/>
      <c r="D50" s="44"/>
      <c r="E50" s="74"/>
    </row>
    <row r="51" spans="1:5" ht="15" customHeight="1" thickBot="1">
      <c r="A51" s="21"/>
      <c r="B51" s="23" t="s">
        <v>69</v>
      </c>
      <c r="C51" s="45"/>
      <c r="D51" s="45"/>
      <c r="E51" s="75"/>
    </row>
    <row r="52" spans="1:5" ht="15" customHeight="1" thickBot="1">
      <c r="A52" s="21"/>
      <c r="B52" s="23" t="s">
        <v>70</v>
      </c>
      <c r="C52" s="46"/>
      <c r="D52" s="46"/>
      <c r="E52" s="75"/>
    </row>
    <row r="53" ht="14.25">
      <c r="A53" s="1" t="s">
        <v>76</v>
      </c>
    </row>
    <row r="54" spans="1:5" ht="14.25">
      <c r="A54"/>
      <c r="B54"/>
      <c r="C54"/>
      <c r="D54"/>
      <c r="E54"/>
    </row>
    <row r="55" spans="1:5" ht="14.25">
      <c r="A55" s="91" t="s">
        <v>77</v>
      </c>
      <c r="B55" s="91"/>
      <c r="C55" s="91"/>
      <c r="D55" s="91" t="s">
        <v>78</v>
      </c>
      <c r="E55" s="91"/>
    </row>
    <row r="56" spans="1:5" ht="14.25">
      <c r="A56" s="91" t="s">
        <v>79</v>
      </c>
      <c r="B56" s="91"/>
      <c r="C56" s="91"/>
      <c r="D56" s="91" t="s">
        <v>80</v>
      </c>
      <c r="E56" s="91"/>
    </row>
    <row r="57" spans="1:5" ht="15.75" customHeight="1">
      <c r="A57" s="92"/>
      <c r="B57" s="91"/>
      <c r="C57" s="91"/>
      <c r="D57" s="91"/>
      <c r="E57" s="91"/>
    </row>
    <row r="58" spans="1:5" ht="14.25">
      <c r="A58" s="93" t="s">
        <v>81</v>
      </c>
      <c r="B58" s="93"/>
      <c r="C58" s="93"/>
      <c r="D58" s="93"/>
      <c r="E58" s="93"/>
    </row>
    <row r="59" spans="1:5" ht="14.25">
      <c r="A59" s="16"/>
      <c r="B59" s="16"/>
      <c r="C59" s="16"/>
      <c r="D59" s="16"/>
      <c r="E59" s="16"/>
    </row>
    <row r="60" spans="1:5" ht="14.25">
      <c r="A60" s="16"/>
      <c r="B60" s="16"/>
      <c r="C60" s="16"/>
      <c r="D60" s="16"/>
      <c r="E60" s="16"/>
    </row>
    <row r="61" spans="1:5" ht="14.25">
      <c r="A61" s="16"/>
      <c r="B61" s="16"/>
      <c r="C61" s="16"/>
      <c r="D61" s="16"/>
      <c r="E61" s="16"/>
    </row>
  </sheetData>
  <sheetProtection/>
  <mergeCells count="17">
    <mergeCell ref="A21:B21"/>
    <mergeCell ref="A48:B48"/>
    <mergeCell ref="B57:E57"/>
    <mergeCell ref="D55:E55"/>
    <mergeCell ref="A55:C55"/>
    <mergeCell ref="A56:C56"/>
    <mergeCell ref="D56:E56"/>
    <mergeCell ref="A58:E58"/>
    <mergeCell ref="A1:E1"/>
    <mergeCell ref="A3:E3"/>
    <mergeCell ref="A4:E4"/>
    <mergeCell ref="B6:B7"/>
    <mergeCell ref="C6:C7"/>
    <mergeCell ref="D6:D7"/>
    <mergeCell ref="E6:E7"/>
    <mergeCell ref="A9:E9"/>
    <mergeCell ref="A20:B20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Klementina</cp:lastModifiedBy>
  <cp:lastPrinted>2022-12-15T13:38:06Z</cp:lastPrinted>
  <dcterms:created xsi:type="dcterms:W3CDTF">2018-04-19T14:11:27Z</dcterms:created>
  <dcterms:modified xsi:type="dcterms:W3CDTF">2023-01-13T09:25:11Z</dcterms:modified>
  <cp:category/>
  <cp:version/>
  <cp:contentType/>
  <cp:contentStatus/>
  <cp:revision>25</cp:revision>
</cp:coreProperties>
</file>